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X:\Grupo de Cálculos\3- Planejamento Licitação\Limpeza-Proc. nº 0030.006211-2023-01\Arquivos Anexados no processo na fase de planejamento\5 - Dia 07_04_2025\"/>
    </mc:Choice>
  </mc:AlternateContent>
  <xr:revisionPtr revIDLastSave="0" documentId="13_ncr:1_{43EBB112-6CD4-4C05-9827-36816B1E8AF2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SUMO LOTE 01" sheetId="15" r:id="rId1"/>
    <sheet name="DADOS" sheetId="23" r:id="rId2"/>
    <sheet name="CIAC - COM INSALUBRIDADE" sheetId="6" r:id="rId3"/>
    <sheet name="Correios e Aero - com INSAL." sheetId="30" r:id="rId4"/>
    <sheet name="PVH - SEM INSALUBRIDADE" sheetId="17" r:id="rId5"/>
    <sheet name="GUAJARA - COM INSALUBRIDADE" sheetId="21" r:id="rId6"/>
    <sheet name="METRAGEM" sheetId="3" r:id="rId7"/>
    <sheet name="INSUMOS" sheetId="27" r:id="rId8"/>
  </sheets>
  <definedNames>
    <definedName name="_xlnm._FilterDatabase" localSheetId="2" hidden="1">'CIAC - COM INSALUBRIDADE'!$G$76</definedName>
    <definedName name="_xlnm._FilterDatabase" localSheetId="3" hidden="1">'Correios e Aero - com INSAL.'!$G$76</definedName>
    <definedName name="_xlnm._FilterDatabase" localSheetId="5" hidden="1">'GUAJARA - COM INSALUBRIDADE'!$G$76</definedName>
    <definedName name="_xlnm._FilterDatabase" localSheetId="4" hidden="1">'PVH - SEM INSALUBRIDADE'!$G$74</definedName>
    <definedName name="_xlnm.Print_Area" localSheetId="2">'CIAC - COM INSALUBRIDADE'!$A$1:$E$116</definedName>
    <definedName name="_xlnm.Print_Area" localSheetId="3">'Correios e Aero - com INSAL.'!$A$1:$E$116</definedName>
    <definedName name="_xlnm.Print_Area" localSheetId="5">'GUAJARA - COM INSALUBRIDADE'!$A$1:$E$116</definedName>
    <definedName name="_xlnm.Print_Area" localSheetId="6">METRAGEM!$A$1:$J$293</definedName>
    <definedName name="_xlnm.Print_Area" localSheetId="4">'PVH - SEM INSALUBRIDADE'!$A$1:$E$114</definedName>
    <definedName name="_xlnm.Print_Area" localSheetId="0">'RESUMO LOTE 01'!$A$1:$I$12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21" roundtripDataChecksum="OPs9xeFUwJ+IQEekzH3Siqu7DTkFKCgm4viDyAQ1p1s="/>
    </ext>
  </extLst>
</workbook>
</file>

<file path=xl/calcChain.xml><?xml version="1.0" encoding="utf-8"?>
<calcChain xmlns="http://schemas.openxmlformats.org/spreadsheetml/2006/main">
  <c r="D37" i="3" l="1"/>
  <c r="G182" i="3" l="1"/>
  <c r="D182" i="3"/>
  <c r="E182" i="3" s="1"/>
  <c r="H182" i="3" s="1"/>
  <c r="G174" i="3"/>
  <c r="D174" i="3"/>
  <c r="E174" i="3" s="1"/>
  <c r="H174" i="3" s="1"/>
  <c r="D166" i="3"/>
  <c r="E166" i="3" s="1"/>
  <c r="H166" i="3" s="1"/>
  <c r="G166" i="3"/>
  <c r="G158" i="3"/>
  <c r="D158" i="3"/>
  <c r="E158" i="3" s="1"/>
  <c r="H158" i="3" s="1"/>
  <c r="D148" i="3"/>
  <c r="E148" i="3" s="1"/>
  <c r="D140" i="3"/>
  <c r="E140" i="3" s="1"/>
  <c r="D132" i="3"/>
  <c r="D123" i="3"/>
  <c r="D115" i="3"/>
  <c r="E115" i="3" s="1"/>
  <c r="D107" i="3"/>
  <c r="E107" i="3" s="1"/>
  <c r="E132" i="3"/>
  <c r="E123" i="3"/>
  <c r="E99" i="3"/>
  <c r="D99" i="3"/>
  <c r="A182" i="3"/>
  <c r="A174" i="3"/>
  <c r="A166" i="3"/>
  <c r="A158" i="3"/>
  <c r="A148" i="3"/>
  <c r="A140" i="3"/>
  <c r="A132" i="3"/>
  <c r="A123" i="3"/>
  <c r="A115" i="3"/>
  <c r="A107" i="3"/>
  <c r="A293" i="3"/>
  <c r="E41" i="30"/>
  <c r="D101" i="30"/>
  <c r="D93" i="30"/>
  <c r="D74" i="30"/>
  <c r="D78" i="30" s="1"/>
  <c r="E73" i="30"/>
  <c r="E74" i="30" s="1"/>
  <c r="E78" i="30" s="1"/>
  <c r="D68" i="30"/>
  <c r="D70" i="30" s="1"/>
  <c r="D77" i="30" s="1"/>
  <c r="D67" i="30"/>
  <c r="D66" i="30"/>
  <c r="D64" i="30"/>
  <c r="D58" i="30"/>
  <c r="D55" i="30"/>
  <c r="D45" i="30"/>
  <c r="E42" i="30"/>
  <c r="D42" i="30"/>
  <c r="D41" i="30"/>
  <c r="D39" i="30"/>
  <c r="D26" i="30"/>
  <c r="D28" i="30" s="1"/>
  <c r="D19" i="30"/>
  <c r="E19" i="30" s="1"/>
  <c r="C14" i="30"/>
  <c r="E12" i="30"/>
  <c r="E44" i="30" s="1"/>
  <c r="C5" i="30"/>
  <c r="E46" i="30" l="1"/>
  <c r="E50" i="30" s="1"/>
  <c r="D79" i="30"/>
  <c r="D56" i="30"/>
  <c r="E17" i="30"/>
  <c r="E18" i="30" l="1"/>
  <c r="D18" i="30"/>
  <c r="D60" i="30"/>
  <c r="E20" i="30" l="1"/>
  <c r="E23" i="30" s="1"/>
  <c r="E21" i="30"/>
  <c r="D181" i="3"/>
  <c r="D180" i="3"/>
  <c r="D179" i="3"/>
  <c r="D173" i="3"/>
  <c r="D172" i="3"/>
  <c r="D171" i="3"/>
  <c r="D165" i="3"/>
  <c r="D164" i="3"/>
  <c r="D157" i="3"/>
  <c r="D156" i="3"/>
  <c r="D147" i="3"/>
  <c r="D146" i="3"/>
  <c r="D139" i="3"/>
  <c r="D138" i="3"/>
  <c r="D131" i="3"/>
  <c r="D130" i="3"/>
  <c r="D114" i="3"/>
  <c r="D113" i="3"/>
  <c r="D106" i="3"/>
  <c r="D105" i="3"/>
  <c r="D104" i="3"/>
  <c r="D98" i="3"/>
  <c r="D97" i="3"/>
  <c r="C14" i="21"/>
  <c r="E26" i="30" l="1"/>
  <c r="E27" i="30"/>
  <c r="E57" i="30"/>
  <c r="E59" i="30"/>
  <c r="E104" i="30"/>
  <c r="E58" i="30"/>
  <c r="E55" i="30"/>
  <c r="E56" i="30"/>
  <c r="B170" i="3"/>
  <c r="B178" i="3" s="1"/>
  <c r="F170" i="3"/>
  <c r="F178" i="3" s="1"/>
  <c r="D68" i="21"/>
  <c r="D67" i="21"/>
  <c r="D66" i="17"/>
  <c r="D65" i="17"/>
  <c r="D68" i="6"/>
  <c r="D67" i="6"/>
  <c r="A189" i="3"/>
  <c r="E28" i="30" l="1"/>
  <c r="E60" i="30"/>
  <c r="E106" i="30" s="1"/>
  <c r="A284" i="3"/>
  <c r="A213" i="3"/>
  <c r="A212" i="3"/>
  <c r="A211" i="3"/>
  <c r="A210" i="3"/>
  <c r="A209" i="3"/>
  <c r="A208" i="3"/>
  <c r="A207" i="3"/>
  <c r="A206" i="3"/>
  <c r="A205" i="3"/>
  <c r="A204" i="3"/>
  <c r="A203" i="3"/>
  <c r="E48" i="30" l="1"/>
  <c r="E34" i="30"/>
  <c r="E32" i="30"/>
  <c r="E35" i="30"/>
  <c r="E38" i="30"/>
  <c r="E36" i="30"/>
  <c r="E33" i="30"/>
  <c r="E31" i="30"/>
  <c r="E37" i="30"/>
  <c r="D55" i="21"/>
  <c r="D54" i="17"/>
  <c r="D55" i="6"/>
  <c r="E39" i="30" l="1"/>
  <c r="E49" i="30" s="1"/>
  <c r="E51" i="30" s="1"/>
  <c r="D121" i="3"/>
  <c r="D122" i="3" s="1"/>
  <c r="H141" i="27"/>
  <c r="J141" i="27" s="1"/>
  <c r="H140" i="27"/>
  <c r="J140" i="27" s="1"/>
  <c r="H139" i="27"/>
  <c r="J139" i="27" s="1"/>
  <c r="H138" i="27"/>
  <c r="J138" i="27" s="1"/>
  <c r="H137" i="27"/>
  <c r="J137" i="27" s="1"/>
  <c r="H136" i="27"/>
  <c r="J136" i="27" s="1"/>
  <c r="H135" i="27"/>
  <c r="J135" i="27" s="1"/>
  <c r="H134" i="27"/>
  <c r="J134" i="27" s="1"/>
  <c r="H133" i="27"/>
  <c r="J133" i="27" s="1"/>
  <c r="H132" i="27"/>
  <c r="J132" i="27" s="1"/>
  <c r="H131" i="27"/>
  <c r="J131" i="27" s="1"/>
  <c r="H130" i="27"/>
  <c r="J130" i="27" s="1"/>
  <c r="H129" i="27"/>
  <c r="J129" i="27" s="1"/>
  <c r="H128" i="27"/>
  <c r="J128" i="27" s="1"/>
  <c r="H127" i="27"/>
  <c r="J127" i="27" s="1"/>
  <c r="H126" i="27"/>
  <c r="J126" i="27" s="1"/>
  <c r="H125" i="27"/>
  <c r="J125" i="27" s="1"/>
  <c r="H124" i="27"/>
  <c r="J124" i="27" s="1"/>
  <c r="H123" i="27"/>
  <c r="J123" i="27" s="1"/>
  <c r="H122" i="27"/>
  <c r="J122" i="27" s="1"/>
  <c r="H121" i="27"/>
  <c r="J121" i="27" s="1"/>
  <c r="H120" i="27"/>
  <c r="J120" i="27" s="1"/>
  <c r="H119" i="27"/>
  <c r="J119" i="27" s="1"/>
  <c r="H118" i="27"/>
  <c r="J118" i="27" s="1"/>
  <c r="H117" i="27"/>
  <c r="J117" i="27" s="1"/>
  <c r="H116" i="27"/>
  <c r="J116" i="27" s="1"/>
  <c r="H115" i="27"/>
  <c r="J115" i="27" s="1"/>
  <c r="H114" i="27"/>
  <c r="J114" i="27" s="1"/>
  <c r="H113" i="27"/>
  <c r="J113" i="27" s="1"/>
  <c r="H112" i="27"/>
  <c r="J112" i="27" s="1"/>
  <c r="H111" i="27"/>
  <c r="J111" i="27" s="1"/>
  <c r="H110" i="27"/>
  <c r="J110" i="27" s="1"/>
  <c r="H104" i="27"/>
  <c r="J104" i="27" s="1"/>
  <c r="H103" i="27"/>
  <c r="J103" i="27" s="1"/>
  <c r="H102" i="27"/>
  <c r="J102" i="27" s="1"/>
  <c r="H101" i="27"/>
  <c r="J101" i="27" s="1"/>
  <c r="H100" i="27"/>
  <c r="J100" i="27" s="1"/>
  <c r="H99" i="27"/>
  <c r="J99" i="27" s="1"/>
  <c r="H98" i="27"/>
  <c r="J98" i="27" s="1"/>
  <c r="H97" i="27"/>
  <c r="J97" i="27" s="1"/>
  <c r="H96" i="27"/>
  <c r="J96" i="27" s="1"/>
  <c r="H95" i="27"/>
  <c r="J95" i="27" s="1"/>
  <c r="H94" i="27"/>
  <c r="J94" i="27" s="1"/>
  <c r="H93" i="27"/>
  <c r="J93" i="27" s="1"/>
  <c r="H92" i="27"/>
  <c r="J92" i="27" s="1"/>
  <c r="H91" i="27"/>
  <c r="J91" i="27" s="1"/>
  <c r="H90" i="27"/>
  <c r="J90" i="27" s="1"/>
  <c r="H89" i="27"/>
  <c r="J89" i="27" s="1"/>
  <c r="H88" i="27"/>
  <c r="J88" i="27" s="1"/>
  <c r="H82" i="27"/>
  <c r="J82" i="27" s="1"/>
  <c r="H81" i="27"/>
  <c r="J81" i="27" s="1"/>
  <c r="H80" i="27"/>
  <c r="J80" i="27" s="1"/>
  <c r="H79" i="27"/>
  <c r="J79" i="27" s="1"/>
  <c r="H78" i="27"/>
  <c r="J78" i="27" s="1"/>
  <c r="H77" i="27"/>
  <c r="J77" i="27" s="1"/>
  <c r="H76" i="27"/>
  <c r="J76" i="27" s="1"/>
  <c r="H70" i="27"/>
  <c r="J70" i="27" s="1"/>
  <c r="H69" i="27"/>
  <c r="J69" i="27" s="1"/>
  <c r="H68" i="27"/>
  <c r="J68" i="27" s="1"/>
  <c r="H67" i="27"/>
  <c r="J67" i="27" s="1"/>
  <c r="H66" i="27"/>
  <c r="J66" i="27" s="1"/>
  <c r="H65" i="27"/>
  <c r="J65" i="27" s="1"/>
  <c r="H64" i="27"/>
  <c r="J64" i="27" s="1"/>
  <c r="H63" i="27"/>
  <c r="J63" i="27" s="1"/>
  <c r="H62" i="27"/>
  <c r="J62" i="27" s="1"/>
  <c r="H61" i="27"/>
  <c r="J61" i="27" s="1"/>
  <c r="H60" i="27"/>
  <c r="J60" i="27" s="1"/>
  <c r="H59" i="27"/>
  <c r="J59" i="27" s="1"/>
  <c r="H58" i="27"/>
  <c r="J58" i="27" s="1"/>
  <c r="H57" i="27"/>
  <c r="J57" i="27" s="1"/>
  <c r="H51" i="27"/>
  <c r="J51" i="27" s="1"/>
  <c r="H50" i="27"/>
  <c r="J50" i="27" s="1"/>
  <c r="H49" i="27"/>
  <c r="J49" i="27" s="1"/>
  <c r="H48" i="27"/>
  <c r="J48" i="27" s="1"/>
  <c r="H47" i="27"/>
  <c r="J47" i="27" s="1"/>
  <c r="H46" i="27"/>
  <c r="J46" i="27" s="1"/>
  <c r="H40" i="27"/>
  <c r="J40" i="27" s="1"/>
  <c r="H39" i="27"/>
  <c r="J39" i="27" s="1"/>
  <c r="H38" i="27"/>
  <c r="J38" i="27" s="1"/>
  <c r="J41" i="27" s="1"/>
  <c r="H32" i="27"/>
  <c r="J32" i="27" s="1"/>
  <c r="H31" i="27"/>
  <c r="J31" i="27" s="1"/>
  <c r="H30" i="27"/>
  <c r="J30" i="27" s="1"/>
  <c r="H29" i="27"/>
  <c r="J29" i="27" s="1"/>
  <c r="H28" i="27"/>
  <c r="J28" i="27" s="1"/>
  <c r="H27" i="27"/>
  <c r="J27" i="27" s="1"/>
  <c r="H26" i="27"/>
  <c r="J26" i="27" s="1"/>
  <c r="H20" i="27"/>
  <c r="J20" i="27" s="1"/>
  <c r="H19" i="27"/>
  <c r="J19" i="27" s="1"/>
  <c r="H18" i="27"/>
  <c r="J18" i="27" s="1"/>
  <c r="H17" i="27"/>
  <c r="J17" i="27" s="1"/>
  <c r="H16" i="27"/>
  <c r="J16" i="27" s="1"/>
  <c r="H15" i="27"/>
  <c r="J15" i="27" s="1"/>
  <c r="H14" i="27"/>
  <c r="J14" i="27" s="1"/>
  <c r="H13" i="27"/>
  <c r="J13" i="27" s="1"/>
  <c r="H12" i="27"/>
  <c r="J12" i="27" s="1"/>
  <c r="H11" i="27"/>
  <c r="J11" i="27" s="1"/>
  <c r="H10" i="27"/>
  <c r="J10" i="27" s="1"/>
  <c r="H9" i="27"/>
  <c r="J9" i="27" s="1"/>
  <c r="H8" i="27"/>
  <c r="J8" i="27" s="1"/>
  <c r="H7" i="27"/>
  <c r="J7" i="27" s="1"/>
  <c r="H6" i="27"/>
  <c r="J6" i="27" s="1"/>
  <c r="H5" i="27"/>
  <c r="J5" i="27" s="1"/>
  <c r="E105" i="30" l="1"/>
  <c r="J105" i="27"/>
  <c r="J142" i="27"/>
  <c r="J52" i="27"/>
  <c r="J21" i="27"/>
  <c r="J83" i="27"/>
  <c r="J33" i="27"/>
  <c r="J71" i="27"/>
  <c r="D45" i="21" l="1"/>
  <c r="D42" i="21"/>
  <c r="D41" i="21"/>
  <c r="D19" i="21"/>
  <c r="E12" i="21"/>
  <c r="D45" i="17"/>
  <c r="D42" i="17"/>
  <c r="D41" i="17"/>
  <c r="D19" i="17"/>
  <c r="E12" i="17"/>
  <c r="D45" i="6"/>
  <c r="D41" i="6"/>
  <c r="D42" i="6"/>
  <c r="D19" i="6"/>
  <c r="E12" i="6"/>
  <c r="C14" i="6"/>
  <c r="C5" i="6"/>
  <c r="C14" i="17"/>
  <c r="C5" i="17"/>
  <c r="C5" i="21"/>
  <c r="E41" i="6" l="1"/>
  <c r="E41" i="17"/>
  <c r="A292" i="3"/>
  <c r="A291" i="3"/>
  <c r="A290" i="3"/>
  <c r="E41" i="21"/>
  <c r="A287" i="3" l="1"/>
  <c r="A286" i="3"/>
  <c r="A283" i="3"/>
  <c r="G180" i="3"/>
  <c r="E180" i="3"/>
  <c r="A180" i="3"/>
  <c r="G179" i="3"/>
  <c r="E179" i="3"/>
  <c r="A179" i="3"/>
  <c r="G172" i="3"/>
  <c r="E172" i="3"/>
  <c r="A172" i="3"/>
  <c r="G171" i="3"/>
  <c r="E171" i="3"/>
  <c r="A171" i="3"/>
  <c r="G164" i="3"/>
  <c r="E164" i="3"/>
  <c r="H164" i="3" s="1"/>
  <c r="A164" i="3"/>
  <c r="G163" i="3"/>
  <c r="E163" i="3"/>
  <c r="A163" i="3"/>
  <c r="G156" i="3"/>
  <c r="G155" i="3"/>
  <c r="E155" i="3"/>
  <c r="E156" i="3"/>
  <c r="A157" i="3"/>
  <c r="A156" i="3"/>
  <c r="A155" i="3"/>
  <c r="A181" i="3"/>
  <c r="A173" i="3"/>
  <c r="A165" i="3"/>
  <c r="A147" i="3"/>
  <c r="A146" i="3"/>
  <c r="A145" i="3"/>
  <c r="A139" i="3"/>
  <c r="A138" i="3"/>
  <c r="A137" i="3"/>
  <c r="A131" i="3"/>
  <c r="A130" i="3"/>
  <c r="A129" i="3"/>
  <c r="A122" i="3"/>
  <c r="A121" i="3"/>
  <c r="A120" i="3"/>
  <c r="A114" i="3"/>
  <c r="A113" i="3"/>
  <c r="A112" i="3"/>
  <c r="A106" i="3"/>
  <c r="A105" i="3"/>
  <c r="A104" i="3"/>
  <c r="E146" i="3"/>
  <c r="E145" i="3"/>
  <c r="E138" i="3"/>
  <c r="E137" i="3"/>
  <c r="E130" i="3"/>
  <c r="E129" i="3"/>
  <c r="E121" i="3"/>
  <c r="E120" i="3"/>
  <c r="E113" i="3"/>
  <c r="E112" i="3"/>
  <c r="E105" i="3"/>
  <c r="E104" i="3"/>
  <c r="E96" i="3"/>
  <c r="E97" i="3"/>
  <c r="E106" i="3"/>
  <c r="H155" i="3" l="1"/>
  <c r="H172" i="3"/>
  <c r="H179" i="3"/>
  <c r="H156" i="3"/>
  <c r="H163" i="3"/>
  <c r="H180" i="3"/>
  <c r="H171" i="3"/>
  <c r="A265" i="3" l="1"/>
  <c r="A277" i="3"/>
  <c r="A276" i="3"/>
  <c r="A275" i="3"/>
  <c r="A274" i="3"/>
  <c r="A273" i="3"/>
  <c r="A272" i="3"/>
  <c r="A271" i="3"/>
  <c r="A270" i="3"/>
  <c r="A269" i="3"/>
  <c r="A268" i="3"/>
  <c r="A267" i="3"/>
  <c r="A249" i="3"/>
  <c r="B90" i="3"/>
  <c r="B89" i="3"/>
  <c r="B88" i="3"/>
  <c r="B87" i="3"/>
  <c r="B72" i="3"/>
  <c r="B71" i="3"/>
  <c r="B70" i="3"/>
  <c r="B69" i="3"/>
  <c r="B54" i="3"/>
  <c r="B53" i="3"/>
  <c r="B52" i="3"/>
  <c r="B51" i="3"/>
  <c r="B85" i="3"/>
  <c r="B84" i="3"/>
  <c r="B83" i="3"/>
  <c r="B67" i="3"/>
  <c r="B66" i="3"/>
  <c r="B65" i="3"/>
  <c r="B49" i="3"/>
  <c r="B48" i="3"/>
  <c r="B47" i="3"/>
  <c r="B81" i="3"/>
  <c r="B80" i="3"/>
  <c r="B79" i="3"/>
  <c r="B78" i="3"/>
  <c r="B63" i="3"/>
  <c r="B62" i="3"/>
  <c r="B61" i="3"/>
  <c r="B60" i="3"/>
  <c r="B45" i="3"/>
  <c r="B44" i="3"/>
  <c r="B43" i="3"/>
  <c r="B42" i="3"/>
  <c r="B36" i="3"/>
  <c r="B35" i="3"/>
  <c r="B34" i="3"/>
  <c r="B33" i="3"/>
  <c r="B32" i="3"/>
  <c r="B28" i="3"/>
  <c r="B23" i="3"/>
  <c r="E181" i="3"/>
  <c r="E173" i="3"/>
  <c r="E165" i="3"/>
  <c r="E157" i="3"/>
  <c r="B147" i="3"/>
  <c r="E147" i="3" s="1"/>
  <c r="B139" i="3"/>
  <c r="E139" i="3" s="1"/>
  <c r="B131" i="3"/>
  <c r="E131" i="3" s="1"/>
  <c r="E122" i="3"/>
  <c r="B114" i="3"/>
  <c r="E114" i="3" s="1"/>
  <c r="E98" i="3"/>
  <c r="B31" i="3"/>
  <c r="B30" i="3"/>
  <c r="B29" i="3"/>
  <c r="B27" i="3"/>
  <c r="B26" i="3"/>
  <c r="B25" i="3"/>
  <c r="B24" i="3"/>
  <c r="A261" i="3"/>
  <c r="A260" i="3"/>
  <c r="A259" i="3"/>
  <c r="A258" i="3"/>
  <c r="A257" i="3"/>
  <c r="A256" i="3"/>
  <c r="A255" i="3"/>
  <c r="A254" i="3"/>
  <c r="A253" i="3"/>
  <c r="A252" i="3"/>
  <c r="A251" i="3"/>
  <c r="A233" i="3"/>
  <c r="A245" i="3"/>
  <c r="A244" i="3"/>
  <c r="A243" i="3"/>
  <c r="A242" i="3"/>
  <c r="A241" i="3"/>
  <c r="A240" i="3"/>
  <c r="A239" i="3"/>
  <c r="A238" i="3"/>
  <c r="A237" i="3"/>
  <c r="A236" i="3"/>
  <c r="A235" i="3"/>
  <c r="A229" i="3"/>
  <c r="A228" i="3"/>
  <c r="A227" i="3"/>
  <c r="A226" i="3"/>
  <c r="A225" i="3"/>
  <c r="A224" i="3"/>
  <c r="A223" i="3"/>
  <c r="A222" i="3"/>
  <c r="A221" i="3"/>
  <c r="A220" i="3"/>
  <c r="A219" i="3"/>
  <c r="A197" i="3"/>
  <c r="A196" i="3"/>
  <c r="A195" i="3"/>
  <c r="A194" i="3"/>
  <c r="A193" i="3"/>
  <c r="A192" i="3"/>
  <c r="A191" i="3"/>
  <c r="A190" i="3"/>
  <c r="F205" i="3"/>
  <c r="I205" i="3" s="1"/>
  <c r="A188" i="3"/>
  <c r="A187" i="3"/>
  <c r="A217" i="3"/>
  <c r="A185" i="3"/>
  <c r="F187" i="3" l="1"/>
  <c r="I187" i="3" s="1"/>
  <c r="E6" i="3" s="1"/>
  <c r="F253" i="3"/>
  <c r="I253" i="3" s="1"/>
  <c r="E62" i="3" s="1"/>
  <c r="F254" i="3"/>
  <c r="I254" i="3" s="1"/>
  <c r="E63" i="3" s="1"/>
  <c r="F267" i="3"/>
  <c r="I267" i="3" s="1"/>
  <c r="E78" i="3" s="1"/>
  <c r="F275" i="3"/>
  <c r="I275" i="3" s="1"/>
  <c r="E88" i="3" s="1"/>
  <c r="F268" i="3"/>
  <c r="I268" i="3" s="1"/>
  <c r="E79" i="3" s="1"/>
  <c r="F276" i="3"/>
  <c r="I276" i="3" s="1"/>
  <c r="E89" i="3" s="1"/>
  <c r="F277" i="3"/>
  <c r="I277" i="3" s="1"/>
  <c r="E90" i="3" s="1"/>
  <c r="F270" i="3"/>
  <c r="I270" i="3" s="1"/>
  <c r="E81" i="3" s="1"/>
  <c r="F274" i="3"/>
  <c r="I274" i="3" s="1"/>
  <c r="E87" i="3" s="1"/>
  <c r="F258" i="3"/>
  <c r="I258" i="3" s="1"/>
  <c r="E69" i="3" s="1"/>
  <c r="F261" i="3"/>
  <c r="I261" i="3" s="1"/>
  <c r="E72" i="3" s="1"/>
  <c r="F256" i="3"/>
  <c r="I256" i="3" s="1"/>
  <c r="E66" i="3" s="1"/>
  <c r="F257" i="3"/>
  <c r="I257" i="3" s="1"/>
  <c r="E67" i="3" s="1"/>
  <c r="F259" i="3"/>
  <c r="I259" i="3" s="1"/>
  <c r="E70" i="3" s="1"/>
  <c r="F273" i="3"/>
  <c r="I273" i="3" s="1"/>
  <c r="E85" i="3" s="1"/>
  <c r="F255" i="3"/>
  <c r="I255" i="3" s="1"/>
  <c r="E65" i="3" s="1"/>
  <c r="F251" i="3"/>
  <c r="I251" i="3" s="1"/>
  <c r="F260" i="3"/>
  <c r="I260" i="3" s="1"/>
  <c r="E71" i="3" s="1"/>
  <c r="F272" i="3"/>
  <c r="I272" i="3" s="1"/>
  <c r="E84" i="3" s="1"/>
  <c r="F271" i="3"/>
  <c r="I271" i="3" s="1"/>
  <c r="E83" i="3" s="1"/>
  <c r="F252" i="3"/>
  <c r="I252" i="3" s="1"/>
  <c r="E61" i="3" s="1"/>
  <c r="F269" i="3"/>
  <c r="I269" i="3" s="1"/>
  <c r="E80" i="3" s="1"/>
  <c r="E91" i="3" l="1"/>
  <c r="E60" i="3"/>
  <c r="E73" i="3" s="1"/>
  <c r="F214" i="3"/>
  <c r="F284" i="3" s="1"/>
  <c r="F7" i="15" s="1"/>
  <c r="G7" i="15" s="1"/>
  <c r="I214" i="3"/>
  <c r="I215" i="3" s="1"/>
  <c r="F278" i="3"/>
  <c r="F287" i="3" s="1"/>
  <c r="F10" i="15" s="1"/>
  <c r="I278" i="3"/>
  <c r="I279" i="3" s="1"/>
  <c r="I287" i="3" s="1"/>
  <c r="D10" i="15" s="1"/>
  <c r="I284" i="3" l="1"/>
  <c r="E8" i="3"/>
  <c r="G10" i="15"/>
  <c r="F195" i="3"/>
  <c r="I195" i="3" s="1"/>
  <c r="E16" i="3" s="1"/>
  <c r="F196" i="3"/>
  <c r="I196" i="3" s="1"/>
  <c r="E17" i="3" s="1"/>
  <c r="F197" i="3"/>
  <c r="I197" i="3" s="1"/>
  <c r="E18" i="3" s="1"/>
  <c r="F194" i="3"/>
  <c r="I194" i="3" s="1"/>
  <c r="E15" i="3" s="1"/>
  <c r="F192" i="3"/>
  <c r="I192" i="3" s="1"/>
  <c r="E12" i="3" s="1"/>
  <c r="F193" i="3"/>
  <c r="I193" i="3" s="1"/>
  <c r="E13" i="3" s="1"/>
  <c r="F191" i="3"/>
  <c r="I191" i="3" s="1"/>
  <c r="E11" i="3" s="1"/>
  <c r="F188" i="3"/>
  <c r="I188" i="3" s="1"/>
  <c r="E7" i="3" s="1"/>
  <c r="F190" i="3"/>
  <c r="I190" i="3" s="1"/>
  <c r="E9" i="3" s="1"/>
  <c r="G157" i="3"/>
  <c r="C122" i="3"/>
  <c r="E19" i="3" l="1"/>
  <c r="H157" i="3"/>
  <c r="F198" i="3"/>
  <c r="F283" i="3" l="1"/>
  <c r="F6" i="15" s="1"/>
  <c r="G181" i="3"/>
  <c r="G173" i="3"/>
  <c r="G165" i="3"/>
  <c r="C114" i="3"/>
  <c r="C147" i="3"/>
  <c r="C139" i="3"/>
  <c r="C131" i="3"/>
  <c r="H181" i="3" l="1"/>
  <c r="H165" i="3"/>
  <c r="H173" i="3"/>
  <c r="D91" i="3" l="1"/>
  <c r="D73" i="3"/>
  <c r="D55" i="3"/>
  <c r="F225" i="3" l="1"/>
  <c r="I225" i="3" s="1"/>
  <c r="E31" i="3" s="1"/>
  <c r="F221" i="3"/>
  <c r="I221" i="3" s="1"/>
  <c r="E26" i="3" s="1"/>
  <c r="F222" i="3"/>
  <c r="I222" i="3" s="1"/>
  <c r="E27" i="3" s="1"/>
  <c r="F228" i="3"/>
  <c r="I228" i="3" s="1"/>
  <c r="E35" i="3" s="1"/>
  <c r="F219" i="3"/>
  <c r="I219" i="3" s="1"/>
  <c r="E24" i="3" s="1"/>
  <c r="F220" i="3"/>
  <c r="I220" i="3" s="1"/>
  <c r="E25" i="3" s="1"/>
  <c r="F224" i="3"/>
  <c r="I224" i="3" s="1"/>
  <c r="E30" i="3" s="1"/>
  <c r="F223" i="3"/>
  <c r="I223" i="3" s="1"/>
  <c r="E29" i="3" s="1"/>
  <c r="F227" i="3"/>
  <c r="I227" i="3" s="1"/>
  <c r="E34" i="3" s="1"/>
  <c r="F226" i="3"/>
  <c r="I226" i="3" s="1"/>
  <c r="E33" i="3" s="1"/>
  <c r="F229" i="3"/>
  <c r="I229" i="3" s="1"/>
  <c r="E36" i="3" s="1"/>
  <c r="E37" i="3" l="1"/>
  <c r="F230" i="3"/>
  <c r="F236" i="3"/>
  <c r="I236" i="3" s="1"/>
  <c r="E43" i="3" s="1"/>
  <c r="F244" i="3"/>
  <c r="I244" i="3" s="1"/>
  <c r="E53" i="3" s="1"/>
  <c r="F235" i="3"/>
  <c r="I235" i="3" s="1"/>
  <c r="F245" i="3"/>
  <c r="I245" i="3" s="1"/>
  <c r="E54" i="3" s="1"/>
  <c r="F238" i="3"/>
  <c r="I238" i="3" s="1"/>
  <c r="E45" i="3" s="1"/>
  <c r="F241" i="3"/>
  <c r="I241" i="3" s="1"/>
  <c r="E49" i="3" s="1"/>
  <c r="F242" i="3"/>
  <c r="I242" i="3" s="1"/>
  <c r="F239" i="3"/>
  <c r="I239" i="3" s="1"/>
  <c r="E47" i="3" s="1"/>
  <c r="F237" i="3"/>
  <c r="I237" i="3" s="1"/>
  <c r="E44" i="3" s="1"/>
  <c r="F240" i="3"/>
  <c r="I240" i="3" s="1"/>
  <c r="E48" i="3" s="1"/>
  <c r="F243" i="3"/>
  <c r="I243" i="3" s="1"/>
  <c r="E52" i="3" s="1"/>
  <c r="E42" i="3" l="1"/>
  <c r="E55" i="3" s="1"/>
  <c r="F246" i="3"/>
  <c r="F285" i="3" s="1"/>
  <c r="F8" i="15" s="1"/>
  <c r="I230" i="3"/>
  <c r="F262" i="3"/>
  <c r="F286" i="3" s="1"/>
  <c r="I231" i="3" l="1"/>
  <c r="F288" i="3"/>
  <c r="F9" i="15"/>
  <c r="I246" i="3"/>
  <c r="I262" i="3"/>
  <c r="I263" i="3" s="1"/>
  <c r="I286" i="3" s="1"/>
  <c r="D9" i="15" s="1"/>
  <c r="D101" i="21"/>
  <c r="D93" i="21" s="1"/>
  <c r="E74" i="21"/>
  <c r="E78" i="21" s="1"/>
  <c r="D74" i="21"/>
  <c r="D78" i="21" s="1"/>
  <c r="E73" i="21"/>
  <c r="D70" i="21"/>
  <c r="D77" i="21" s="1"/>
  <c r="D79" i="21" s="1"/>
  <c r="D66" i="21"/>
  <c r="D64" i="21"/>
  <c r="D56" i="21"/>
  <c r="E44" i="21"/>
  <c r="E42" i="21"/>
  <c r="D39" i="21"/>
  <c r="D58" i="21" s="1"/>
  <c r="D28" i="21"/>
  <c r="D26" i="21"/>
  <c r="E19" i="21"/>
  <c r="E17" i="21"/>
  <c r="I198" i="3"/>
  <c r="I283" i="3" s="1"/>
  <c r="E44" i="6"/>
  <c r="E42" i="6"/>
  <c r="E46" i="6"/>
  <c r="D28" i="6"/>
  <c r="D26" i="6"/>
  <c r="E19" i="6"/>
  <c r="D19" i="3"/>
  <c r="F11" i="15" l="1"/>
  <c r="I247" i="3"/>
  <c r="G9" i="15"/>
  <c r="E46" i="21"/>
  <c r="E50" i="21" s="1"/>
  <c r="E18" i="21"/>
  <c r="E21" i="21" s="1"/>
  <c r="D6" i="15"/>
  <c r="D60" i="21"/>
  <c r="D18" i="21"/>
  <c r="I285" i="3" l="1"/>
  <c r="D8" i="15" s="1"/>
  <c r="D11" i="15" s="1"/>
  <c r="G6" i="15"/>
  <c r="E20" i="21"/>
  <c r="E23" i="21"/>
  <c r="E27" i="21" s="1"/>
  <c r="G8" i="15" l="1"/>
  <c r="F22" i="27"/>
  <c r="F34" i="27" s="1"/>
  <c r="I34" i="27" s="1"/>
  <c r="I288" i="3"/>
  <c r="E26" i="21"/>
  <c r="E28" i="21" s="1"/>
  <c r="E48" i="21" s="1"/>
  <c r="E58" i="21"/>
  <c r="E55" i="21"/>
  <c r="E56" i="21"/>
  <c r="E37" i="21"/>
  <c r="E38" i="21"/>
  <c r="E59" i="21"/>
  <c r="E104" i="21"/>
  <c r="E34" i="21"/>
  <c r="E57" i="21"/>
  <c r="E31" i="21"/>
  <c r="E35" i="21"/>
  <c r="E36" i="21"/>
  <c r="D99" i="17"/>
  <c r="D91" i="17" s="1"/>
  <c r="D72" i="17"/>
  <c r="D76" i="17" s="1"/>
  <c r="E71" i="17"/>
  <c r="E72" i="17" s="1"/>
  <c r="E76" i="17" s="1"/>
  <c r="D64" i="17"/>
  <c r="D62" i="17"/>
  <c r="D68" i="17" s="1"/>
  <c r="D75" i="17" s="1"/>
  <c r="D77" i="17" s="1"/>
  <c r="D55" i="17"/>
  <c r="E44" i="17"/>
  <c r="E42" i="17"/>
  <c r="D39" i="17"/>
  <c r="D57" i="17" s="1"/>
  <c r="D26" i="17"/>
  <c r="D28" i="17" s="1"/>
  <c r="E19" i="17"/>
  <c r="E17" i="17"/>
  <c r="F143" i="27" l="1"/>
  <c r="I143" i="27" s="1"/>
  <c r="F53" i="27"/>
  <c r="I53" i="27" s="1"/>
  <c r="F84" i="27"/>
  <c r="I84" i="27" s="1"/>
  <c r="F72" i="27"/>
  <c r="I72" i="27" s="1"/>
  <c r="F42" i="27"/>
  <c r="I42" i="27" s="1"/>
  <c r="F106" i="27"/>
  <c r="I106" i="27" s="1"/>
  <c r="I22" i="27"/>
  <c r="E33" i="21"/>
  <c r="E32" i="21"/>
  <c r="E60" i="21"/>
  <c r="E106" i="21" s="1"/>
  <c r="E39" i="21"/>
  <c r="E49" i="21" s="1"/>
  <c r="E51" i="21" s="1"/>
  <c r="E46" i="17"/>
  <c r="E50" i="17" s="1"/>
  <c r="E105" i="21"/>
  <c r="E18" i="17"/>
  <c r="E21" i="17" s="1"/>
  <c r="D59" i="17"/>
  <c r="D18" i="17"/>
  <c r="I148" i="27" l="1"/>
  <c r="I147" i="27"/>
  <c r="K145" i="27"/>
  <c r="I146" i="27"/>
  <c r="E83" i="30"/>
  <c r="E83" i="6"/>
  <c r="I145" i="27"/>
  <c r="E84" i="6"/>
  <c r="E82" i="17" s="1"/>
  <c r="E84" i="30"/>
  <c r="E82" i="6"/>
  <c r="E80" i="17" s="1"/>
  <c r="E82" i="30"/>
  <c r="E83" i="21"/>
  <c r="E81" i="17"/>
  <c r="E20" i="17"/>
  <c r="E23" i="17"/>
  <c r="E55" i="17" s="1"/>
  <c r="E57" i="17"/>
  <c r="E27" i="17"/>
  <c r="E26" i="17"/>
  <c r="E56" i="17"/>
  <c r="E102" i="17"/>
  <c r="E58" i="17"/>
  <c r="D101" i="6"/>
  <c r="D93" i="6" s="1"/>
  <c r="D74" i="6"/>
  <c r="D78" i="6" s="1"/>
  <c r="E73" i="6"/>
  <c r="E74" i="6" s="1"/>
  <c r="E78" i="6" s="1"/>
  <c r="D70" i="6"/>
  <c r="D77" i="6" s="1"/>
  <c r="D79" i="6" s="1"/>
  <c r="D66" i="6"/>
  <c r="D64" i="6"/>
  <c r="D56" i="6"/>
  <c r="D39" i="6"/>
  <c r="D58" i="6" s="1"/>
  <c r="E17" i="6"/>
  <c r="E82" i="21" l="1"/>
  <c r="E67" i="21" s="1"/>
  <c r="E84" i="17"/>
  <c r="E84" i="21"/>
  <c r="E86" i="30"/>
  <c r="E108" i="30" s="1"/>
  <c r="E68" i="30"/>
  <c r="E66" i="30"/>
  <c r="E64" i="30"/>
  <c r="E67" i="30"/>
  <c r="E69" i="30"/>
  <c r="E65" i="30"/>
  <c r="E66" i="21"/>
  <c r="E68" i="21"/>
  <c r="E65" i="21"/>
  <c r="E54" i="17"/>
  <c r="D18" i="6"/>
  <c r="E50" i="6"/>
  <c r="D60" i="6"/>
  <c r="E28" i="17"/>
  <c r="E59" i="17"/>
  <c r="E104" i="17" s="1"/>
  <c r="E18" i="6"/>
  <c r="E21" i="6" s="1"/>
  <c r="E64" i="21" l="1"/>
  <c r="E69" i="21"/>
  <c r="E70" i="30"/>
  <c r="E77" i="30" s="1"/>
  <c r="E79" i="30" s="1"/>
  <c r="E70" i="21"/>
  <c r="E77" i="21" s="1"/>
  <c r="E79" i="21" s="1"/>
  <c r="E107" i="21" s="1"/>
  <c r="E48" i="17"/>
  <c r="E35" i="17"/>
  <c r="E31" i="17"/>
  <c r="E37" i="17"/>
  <c r="E36" i="17"/>
  <c r="E34" i="17"/>
  <c r="E33" i="17"/>
  <c r="E32" i="17"/>
  <c r="E38" i="17"/>
  <c r="E20" i="6"/>
  <c r="E23" i="6" s="1"/>
  <c r="E107" i="30" l="1"/>
  <c r="E109" i="30" s="1"/>
  <c r="E87" i="30"/>
  <c r="E88" i="30" s="1"/>
  <c r="E55" i="6"/>
  <c r="E27" i="6"/>
  <c r="E26" i="6"/>
  <c r="E58" i="6"/>
  <c r="E39" i="17"/>
  <c r="E49" i="17" s="1"/>
  <c r="E51" i="17" s="1"/>
  <c r="E104" i="6"/>
  <c r="E56" i="6"/>
  <c r="E59" i="6"/>
  <c r="E57" i="6"/>
  <c r="E91" i="30" l="1"/>
  <c r="E92" i="30" s="1"/>
  <c r="E93" i="30" s="1"/>
  <c r="E94" i="30" s="1"/>
  <c r="E28" i="6"/>
  <c r="E33" i="6" s="1"/>
  <c r="E31" i="6"/>
  <c r="E32" i="6"/>
  <c r="E60" i="6"/>
  <c r="E106" i="6" s="1"/>
  <c r="E36" i="6"/>
  <c r="E103" i="17"/>
  <c r="E64" i="17"/>
  <c r="E65" i="17"/>
  <c r="E62" i="17"/>
  <c r="E67" i="17"/>
  <c r="E66" i="17"/>
  <c r="E63" i="17"/>
  <c r="E100" i="30" l="1"/>
  <c r="E97" i="30"/>
  <c r="E96" i="30"/>
  <c r="E34" i="6"/>
  <c r="E35" i="6"/>
  <c r="E38" i="6"/>
  <c r="E48" i="6"/>
  <c r="E37" i="6"/>
  <c r="E68" i="17"/>
  <c r="E75" i="17" s="1"/>
  <c r="E77" i="17" s="1"/>
  <c r="E101" i="30" l="1"/>
  <c r="E102" i="30" s="1"/>
  <c r="E110" i="30" s="1"/>
  <c r="E111" i="30" s="1"/>
  <c r="E39" i="6"/>
  <c r="E49" i="6"/>
  <c r="E51" i="6" s="1"/>
  <c r="E105" i="17"/>
  <c r="I174" i="3" l="1"/>
  <c r="J174" i="3" s="1"/>
  <c r="I182" i="3"/>
  <c r="J182" i="3" s="1"/>
  <c r="I166" i="3"/>
  <c r="J166" i="3" s="1"/>
  <c r="F148" i="3"/>
  <c r="G148" i="3" s="1"/>
  <c r="F132" i="3"/>
  <c r="G132" i="3" s="1"/>
  <c r="F123" i="3"/>
  <c r="G123" i="3" s="1"/>
  <c r="F115" i="3"/>
  <c r="G115" i="3" s="1"/>
  <c r="F107" i="3"/>
  <c r="G107" i="3" s="1"/>
  <c r="F99" i="3"/>
  <c r="G99" i="3" s="1"/>
  <c r="I158" i="3"/>
  <c r="J158" i="3" s="1"/>
  <c r="F140" i="3"/>
  <c r="G140" i="3" s="1"/>
  <c r="E64" i="6"/>
  <c r="E65" i="6"/>
  <c r="E105" i="6"/>
  <c r="E68" i="6"/>
  <c r="E66" i="6"/>
  <c r="E67" i="6"/>
  <c r="E69" i="6"/>
  <c r="D221" i="3" l="1"/>
  <c r="D237" i="3"/>
  <c r="D223" i="3"/>
  <c r="D239" i="3"/>
  <c r="D219" i="3"/>
  <c r="D235" i="3"/>
  <c r="D222" i="3"/>
  <c r="D238" i="3"/>
  <c r="D229" i="3"/>
  <c r="D245" i="3"/>
  <c r="D224" i="3"/>
  <c r="D240" i="3"/>
  <c r="D226" i="3"/>
  <c r="D242" i="3"/>
  <c r="D220" i="3"/>
  <c r="D236" i="3"/>
  <c r="D225" i="3"/>
  <c r="D241" i="3"/>
  <c r="D227" i="3"/>
  <c r="D243" i="3"/>
  <c r="D228" i="3"/>
  <c r="D244" i="3"/>
  <c r="E70" i="6"/>
  <c r="E77" i="6" s="1"/>
  <c r="E79" i="6" s="1"/>
  <c r="E107" i="6" s="1"/>
  <c r="E86" i="21" l="1"/>
  <c r="E86" i="6"/>
  <c r="E108" i="21" l="1"/>
  <c r="E109" i="21" s="1"/>
  <c r="E87" i="21"/>
  <c r="E88" i="21" s="1"/>
  <c r="E106" i="17"/>
  <c r="E107" i="17" s="1"/>
  <c r="E85" i="17"/>
  <c r="E86" i="17" s="1"/>
  <c r="E89" i="17" s="1"/>
  <c r="E90" i="17" s="1"/>
  <c r="E91" i="17" s="1"/>
  <c r="E92" i="17" s="1"/>
  <c r="E98" i="17" s="1"/>
  <c r="E108" i="6"/>
  <c r="E109" i="6" s="1"/>
  <c r="E87" i="6"/>
  <c r="E88" i="6" s="1"/>
  <c r="E91" i="6" s="1"/>
  <c r="E92" i="6" s="1"/>
  <c r="E93" i="6" s="1"/>
  <c r="E94" i="6" s="1"/>
  <c r="E97" i="6" s="1"/>
  <c r="E91" i="21" l="1"/>
  <c r="E92" i="21" s="1"/>
  <c r="E93" i="21" s="1"/>
  <c r="E94" i="21" s="1"/>
  <c r="E94" i="17"/>
  <c r="E95" i="17"/>
  <c r="E96" i="6"/>
  <c r="E100" i="6"/>
  <c r="E100" i="21" l="1"/>
  <c r="E97" i="21"/>
  <c r="E96" i="21"/>
  <c r="E101" i="6"/>
  <c r="E102" i="6" s="1"/>
  <c r="E110" i="6" s="1"/>
  <c r="E111" i="6" s="1"/>
  <c r="E99" i="17"/>
  <c r="E100" i="17" s="1"/>
  <c r="E108" i="17" s="1"/>
  <c r="E109" i="17" s="1"/>
  <c r="F114" i="3" l="1"/>
  <c r="G114" i="3" s="1"/>
  <c r="F147" i="3"/>
  <c r="G147" i="3" s="1"/>
  <c r="D193" i="3" s="1"/>
  <c r="F106" i="3"/>
  <c r="G106" i="3" s="1"/>
  <c r="F98" i="3"/>
  <c r="G98" i="3" s="1"/>
  <c r="D187" i="3" s="1"/>
  <c r="F122" i="3"/>
  <c r="G122" i="3" s="1"/>
  <c r="D190" i="3" s="1"/>
  <c r="F139" i="3"/>
  <c r="G139" i="3" s="1"/>
  <c r="D192" i="3" s="1"/>
  <c r="I181" i="3"/>
  <c r="J181" i="3" s="1"/>
  <c r="D197" i="3" s="1"/>
  <c r="I173" i="3"/>
  <c r="J173" i="3" s="1"/>
  <c r="D196" i="3" s="1"/>
  <c r="I157" i="3"/>
  <c r="J157" i="3" s="1"/>
  <c r="D194" i="3" s="1"/>
  <c r="F131" i="3"/>
  <c r="G131" i="3" s="1"/>
  <c r="D191" i="3" s="1"/>
  <c r="I165" i="3"/>
  <c r="J165" i="3" s="1"/>
  <c r="D195" i="3" s="1"/>
  <c r="I171" i="3"/>
  <c r="J171" i="3" s="1"/>
  <c r="I163" i="3"/>
  <c r="J163" i="3" s="1"/>
  <c r="F145" i="3"/>
  <c r="G145" i="3" s="1"/>
  <c r="F137" i="3"/>
  <c r="G137" i="3" s="1"/>
  <c r="F112" i="3"/>
  <c r="G112" i="3" s="1"/>
  <c r="F104" i="3"/>
  <c r="G104" i="3" s="1"/>
  <c r="I155" i="3"/>
  <c r="J155" i="3" s="1"/>
  <c r="F96" i="3"/>
  <c r="G96" i="3" s="1"/>
  <c r="F129" i="3"/>
  <c r="G129" i="3" s="1"/>
  <c r="I179" i="3"/>
  <c r="J179" i="3" s="1"/>
  <c r="F120" i="3"/>
  <c r="G120" i="3" s="1"/>
  <c r="E101" i="21"/>
  <c r="E102" i="21" s="1"/>
  <c r="E110" i="21" s="1"/>
  <c r="E111" i="21" s="1"/>
  <c r="G212" i="3" l="1"/>
  <c r="H212" i="3" s="1"/>
  <c r="D205" i="3"/>
  <c r="G213" i="3"/>
  <c r="H213" i="3" s="1"/>
  <c r="G225" i="3"/>
  <c r="H225" i="3" s="1"/>
  <c r="G209" i="3"/>
  <c r="H209" i="3" s="1"/>
  <c r="G203" i="3"/>
  <c r="H203" i="3" s="1"/>
  <c r="G205" i="3"/>
  <c r="H205" i="3" s="1"/>
  <c r="G204" i="3"/>
  <c r="H204" i="3" s="1"/>
  <c r="G206" i="3"/>
  <c r="H206" i="3" s="1"/>
  <c r="G208" i="3"/>
  <c r="H208" i="3" s="1"/>
  <c r="G195" i="3"/>
  <c r="H195" i="3" s="1"/>
  <c r="G192" i="3"/>
  <c r="H192" i="3" s="1"/>
  <c r="D188" i="3"/>
  <c r="G188" i="3" s="1"/>
  <c r="H188" i="3" s="1"/>
  <c r="G191" i="3"/>
  <c r="H191" i="3" s="1"/>
  <c r="G197" i="3"/>
  <c r="H197" i="3" s="1"/>
  <c r="G187" i="3"/>
  <c r="H187" i="3" s="1"/>
  <c r="G193" i="3"/>
  <c r="H193" i="3" s="1"/>
  <c r="G194" i="3"/>
  <c r="H194" i="3" s="1"/>
  <c r="G196" i="3"/>
  <c r="H196" i="3" s="1"/>
  <c r="G190" i="3"/>
  <c r="H190" i="3" s="1"/>
  <c r="G223" i="3"/>
  <c r="H223" i="3" s="1"/>
  <c r="G222" i="3"/>
  <c r="H222" i="3" s="1"/>
  <c r="G229" i="3"/>
  <c r="H229" i="3" s="1"/>
  <c r="G226" i="3"/>
  <c r="H226" i="3" s="1"/>
  <c r="G220" i="3"/>
  <c r="H220" i="3" s="1"/>
  <c r="G224" i="3"/>
  <c r="H224" i="3" s="1"/>
  <c r="G227" i="3"/>
  <c r="H227" i="3" s="1"/>
  <c r="G228" i="3"/>
  <c r="H228" i="3" s="1"/>
  <c r="F130" i="3"/>
  <c r="G130" i="3" s="1"/>
  <c r="D255" i="3" s="1"/>
  <c r="I172" i="3"/>
  <c r="J172" i="3" s="1"/>
  <c r="J175" i="3" s="1"/>
  <c r="F113" i="3"/>
  <c r="G113" i="3" s="1"/>
  <c r="G116" i="3" s="1"/>
  <c r="F105" i="3"/>
  <c r="G105" i="3" s="1"/>
  <c r="D252" i="3" s="1"/>
  <c r="I156" i="3"/>
  <c r="J156" i="3" s="1"/>
  <c r="D258" i="3" s="1"/>
  <c r="F97" i="3"/>
  <c r="G97" i="3" s="1"/>
  <c r="D251" i="3" s="1"/>
  <c r="F146" i="3"/>
  <c r="G146" i="3" s="1"/>
  <c r="G149" i="3" s="1"/>
  <c r="F121" i="3"/>
  <c r="G121" i="3" s="1"/>
  <c r="D254" i="3" s="1"/>
  <c r="I180" i="3"/>
  <c r="J180" i="3" s="1"/>
  <c r="J183" i="3" s="1"/>
  <c r="I164" i="3"/>
  <c r="J164" i="3" s="1"/>
  <c r="D259" i="3" s="1"/>
  <c r="F138" i="3"/>
  <c r="G138" i="3" s="1"/>
  <c r="D256" i="3" s="1"/>
  <c r="G141" i="3" l="1"/>
  <c r="G124" i="3"/>
  <c r="J159" i="3"/>
  <c r="J167" i="3"/>
  <c r="G100" i="3"/>
  <c r="G133" i="3"/>
  <c r="G108" i="3"/>
  <c r="D257" i="3"/>
  <c r="G257" i="3" s="1"/>
  <c r="H257" i="3" s="1"/>
  <c r="G207" i="3"/>
  <c r="D261" i="3"/>
  <c r="G261" i="3" s="1"/>
  <c r="H261" i="3" s="1"/>
  <c r="G211" i="3"/>
  <c r="H211" i="3" s="1"/>
  <c r="D260" i="3"/>
  <c r="G210" i="3"/>
  <c r="H210" i="3" s="1"/>
  <c r="H198" i="3"/>
  <c r="H199" i="3" s="1"/>
  <c r="G198" i="3"/>
  <c r="G199" i="3" s="1"/>
  <c r="D283" i="3" s="1"/>
  <c r="D269" i="3"/>
  <c r="G269" i="3" s="1"/>
  <c r="H269" i="3" s="1"/>
  <c r="D253" i="3"/>
  <c r="G253" i="3" s="1"/>
  <c r="H253" i="3" s="1"/>
  <c r="G256" i="3"/>
  <c r="H256" i="3" s="1"/>
  <c r="G240" i="3"/>
  <c r="H240" i="3" s="1"/>
  <c r="D272" i="3"/>
  <c r="G272" i="3" s="1"/>
  <c r="H272" i="3" s="1"/>
  <c r="D273" i="3"/>
  <c r="G273" i="3" s="1"/>
  <c r="H273" i="3" s="1"/>
  <c r="G241" i="3"/>
  <c r="H241" i="3" s="1"/>
  <c r="D274" i="3"/>
  <c r="G274" i="3" s="1"/>
  <c r="H274" i="3" s="1"/>
  <c r="G258" i="3"/>
  <c r="H258" i="3" s="1"/>
  <c r="G242" i="3"/>
  <c r="H242" i="3" s="1"/>
  <c r="D277" i="3"/>
  <c r="G277" i="3" s="1"/>
  <c r="H277" i="3" s="1"/>
  <c r="G245" i="3"/>
  <c r="H245" i="3" s="1"/>
  <c r="D270" i="3"/>
  <c r="G270" i="3" s="1"/>
  <c r="H270" i="3" s="1"/>
  <c r="G238" i="3"/>
  <c r="H238" i="3" s="1"/>
  <c r="G254" i="3"/>
  <c r="H254" i="3" s="1"/>
  <c r="G252" i="3"/>
  <c r="H252" i="3" s="1"/>
  <c r="G236" i="3"/>
  <c r="H236" i="3" s="1"/>
  <c r="D268" i="3"/>
  <c r="G268" i="3" s="1"/>
  <c r="H268" i="3" s="1"/>
  <c r="D276" i="3"/>
  <c r="G276" i="3" s="1"/>
  <c r="H276" i="3" s="1"/>
  <c r="G244" i="3"/>
  <c r="H244" i="3" s="1"/>
  <c r="G260" i="3"/>
  <c r="H260" i="3" s="1"/>
  <c r="D275" i="3"/>
  <c r="G275" i="3" s="1"/>
  <c r="H275" i="3" s="1"/>
  <c r="G243" i="3"/>
  <c r="H243" i="3" s="1"/>
  <c r="G259" i="3"/>
  <c r="H259" i="3" s="1"/>
  <c r="D271" i="3"/>
  <c r="G271" i="3" s="1"/>
  <c r="H271" i="3" s="1"/>
  <c r="G239" i="3"/>
  <c r="H239" i="3" s="1"/>
  <c r="G255" i="3"/>
  <c r="H255" i="3" s="1"/>
  <c r="G219" i="3"/>
  <c r="G251" i="3"/>
  <c r="G221" i="3"/>
  <c r="H221" i="3" s="1"/>
  <c r="G235" i="3"/>
  <c r="D267" i="3"/>
  <c r="G267" i="3" s="1"/>
  <c r="G237" i="3"/>
  <c r="H237" i="3" s="1"/>
  <c r="H207" i="3" l="1"/>
  <c r="H214" i="3" s="1"/>
  <c r="G214" i="3"/>
  <c r="G283" i="3"/>
  <c r="H283" i="3" s="1"/>
  <c r="E6" i="15"/>
  <c r="H6" i="15" s="1"/>
  <c r="I6" i="15" s="1"/>
  <c r="G262" i="3"/>
  <c r="G263" i="3" s="1"/>
  <c r="H251" i="3"/>
  <c r="H262" i="3" s="1"/>
  <c r="H267" i="3"/>
  <c r="H278" i="3" s="1"/>
  <c r="G278" i="3"/>
  <c r="G279" i="3" s="1"/>
  <c r="G246" i="3"/>
  <c r="G247" i="3" s="1"/>
  <c r="H235" i="3"/>
  <c r="H246" i="3" s="1"/>
  <c r="G230" i="3"/>
  <c r="H219" i="3"/>
  <c r="H230" i="3" s="1"/>
  <c r="G231" i="3" l="1"/>
  <c r="H231" i="3" s="1"/>
  <c r="D287" i="3"/>
  <c r="H279" i="3"/>
  <c r="D285" i="3"/>
  <c r="H247" i="3"/>
  <c r="D286" i="3"/>
  <c r="H263" i="3"/>
  <c r="G215" i="3"/>
  <c r="G286" i="3"/>
  <c r="H286" i="3" s="1"/>
  <c r="E9" i="15"/>
  <c r="H9" i="15" s="1"/>
  <c r="I9" i="15" s="1"/>
  <c r="G287" i="3"/>
  <c r="H287" i="3" s="1"/>
  <c r="E10" i="15"/>
  <c r="H10" i="15" s="1"/>
  <c r="I10" i="15" s="1"/>
  <c r="G285" i="3"/>
  <c r="H285" i="3" s="1"/>
  <c r="E8" i="15"/>
  <c r="H8" i="15" s="1"/>
  <c r="I8" i="15" s="1"/>
  <c r="D284" i="3" l="1"/>
  <c r="G284" i="3" s="1"/>
  <c r="H284" i="3" s="1"/>
  <c r="H288" i="3" s="1"/>
  <c r="H215" i="3"/>
  <c r="E7" i="15" l="1"/>
  <c r="G288" i="3"/>
  <c r="H7" i="15" l="1"/>
  <c r="I7" i="15" s="1"/>
  <c r="I11" i="15" s="1"/>
  <c r="H11" i="1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Igor Italvino Bruschi</author>
  </authors>
  <commentList>
    <comment ref="C21" authorId="0" shapeId="0" xr:uid="{2A028B7D-11D2-4827-B5B2-D2810E521E6A}">
      <text>
        <r>
          <rPr>
            <b/>
            <sz val="9"/>
            <color indexed="81"/>
            <rFont val="Segoe UI"/>
            <charset val="1"/>
          </rPr>
          <t>DECRETO Nº 20.846, DE 17 DE MARÇO DE 2025</t>
        </r>
      </text>
    </comment>
  </commentList>
</comments>
</file>

<file path=xl/sharedStrings.xml><?xml version="1.0" encoding="utf-8"?>
<sst xmlns="http://schemas.openxmlformats.org/spreadsheetml/2006/main" count="1383" uniqueCount="378">
  <si>
    <t>ITEM</t>
  </si>
  <si>
    <t>ESPECIFICAÇÃO</t>
  </si>
  <si>
    <t>UND</t>
  </si>
  <si>
    <t>QUANTIDADE</t>
  </si>
  <si>
    <t>VALOR UNT (M²)</t>
  </si>
  <si>
    <t>VALOR TOTAL (Mensal)</t>
  </si>
  <si>
    <t>VALOR TOTAL (Anual)</t>
  </si>
  <si>
    <t>Áreas Internas</t>
  </si>
  <si>
    <t>m²</t>
  </si>
  <si>
    <t>Área Externa</t>
  </si>
  <si>
    <t>Varrição de passeios e arruamentos</t>
  </si>
  <si>
    <t>Esquadrias Face Interna e Externa</t>
  </si>
  <si>
    <t>Face externa sem exposição a situação de risco</t>
  </si>
  <si>
    <t>4.1</t>
  </si>
  <si>
    <t>4.2</t>
  </si>
  <si>
    <t xml:space="preserve">ÁREA INTERNA    </t>
  </si>
  <si>
    <t>MÃO DE OBRA</t>
  </si>
  <si>
    <t>TOTAL:</t>
  </si>
  <si>
    <t>Área Interna - Banheiros</t>
  </si>
  <si>
    <t xml:space="preserve">ÁREA EXTERNA    </t>
  </si>
  <si>
    <t>Área Externa - Pisos pavimentados adjacentes às edificações</t>
  </si>
  <si>
    <t xml:space="preserve"> </t>
  </si>
  <si>
    <t xml:space="preserve">ESQUADRIAS    </t>
  </si>
  <si>
    <t>(3)
JORNADA DE TRABALHO NO MÊS
(HORAS)</t>
  </si>
  <si>
    <t>(4)
(1 x 2 x 3)
(Ki ****)</t>
  </si>
  <si>
    <t>(5)
PREÇO DO HOMEM-MÊS
(R$)</t>
  </si>
  <si>
    <r>
      <rPr>
        <sz val="12"/>
        <color theme="1"/>
        <rFont val="Calibri"/>
        <family val="2"/>
      </rPr>
      <t>(4x5)
SUBTOTAL
(R$/M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</t>
    </r>
  </si>
  <si>
    <t>Face interna sem exposição a situação de risco</t>
  </si>
  <si>
    <t>TOTAL</t>
  </si>
  <si>
    <t>A</t>
  </si>
  <si>
    <t>Data de apresentação da proposta (mês/ano)</t>
  </si>
  <si>
    <t>B</t>
  </si>
  <si>
    <t>Serviços de Higienização e Limpeza</t>
  </si>
  <si>
    <t>C</t>
  </si>
  <si>
    <t>Ano Acordo, Convenção ou Sentença Normativa em Dissídio Coletivo</t>
  </si>
  <si>
    <t>D</t>
  </si>
  <si>
    <r>
      <rPr>
        <sz val="10"/>
        <color theme="1"/>
        <rFont val="Calibri"/>
        <family val="2"/>
      </rPr>
      <t>N</t>
    </r>
    <r>
      <rPr>
        <strike/>
        <sz val="10"/>
        <color theme="1"/>
        <rFont val="Calibri"/>
        <family val="2"/>
      </rPr>
      <t>º</t>
    </r>
    <r>
      <rPr>
        <sz val="10"/>
        <color theme="1"/>
        <rFont val="Calibri"/>
        <family val="2"/>
      </rPr>
      <t xml:space="preserve"> de meses de execução contratual</t>
    </r>
  </si>
  <si>
    <t>Identificação do Serviço</t>
  </si>
  <si>
    <t>Anexo III-A – Mão-de-obra</t>
  </si>
  <si>
    <t>Mão-de-obra vinculada à execução contratual</t>
  </si>
  <si>
    <t>Dados complementares para composição dos custos referente à mão-de-obra</t>
  </si>
  <si>
    <t>Valor (R$)</t>
  </si>
  <si>
    <t>Tipo de serviço (mesmo serviço com características distintas)</t>
  </si>
  <si>
    <t>ATIVIDADES DE CONSERVAÇÃO E LIMPEZA PREDIAL</t>
  </si>
  <si>
    <t>Salário Normativo da Categoria Profissional</t>
  </si>
  <si>
    <t>Categoria profissional (vinculada à execução contratual)</t>
  </si>
  <si>
    <t>Data base da categoria (dia/mês/ano)</t>
  </si>
  <si>
    <t>MÓDULO 1 : COMPOSIÇÃO DA REMUNERAÇÃO</t>
  </si>
  <si>
    <t>Composição da Remuneração</t>
  </si>
  <si>
    <t>Salário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</si>
  <si>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</si>
  <si>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</si>
  <si>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</si>
  <si>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</si>
  <si>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</si>
  <si>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</si>
  <si>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INTERVALO INTRAJORNADA</t>
  </si>
  <si>
    <t>TOTAL DA REMUNERAÇÃO</t>
  </si>
  <si>
    <t xml:space="preserve"> MÓDULO 2: BENEFÍCIOS MENSAIS E DIÁRIOS</t>
  </si>
  <si>
    <t>2.1</t>
  </si>
  <si>
    <t>DÉCIMO TERCEIRO SALÁRIO, FÉRIAS E ADICIONAL DE FÉRIAS</t>
  </si>
  <si>
    <t>13 º Salário</t>
  </si>
  <si>
    <t>Férias (8,33%) e Adicional de Férias (TR x 2,78%)</t>
  </si>
  <si>
    <t xml:space="preserve">Base de cálculo: De acordo com a instrução normativa nº 05/2017 anexo VII nota 3, a base de cálculo neste módulo deverá ser a soma: MÓDULO 1 + SUBMÓDULO 2.1. </t>
  </si>
  <si>
    <t>2.2</t>
  </si>
  <si>
    <t>Encargos previdenciários e FGTS</t>
  </si>
  <si>
    <t>Inss</t>
  </si>
  <si>
    <t>Sesi ou Sesc</t>
  </si>
  <si>
    <t xml:space="preserve">Incra </t>
  </si>
  <si>
    <t xml:space="preserve">Fgts </t>
  </si>
  <si>
    <t>G</t>
  </si>
  <si>
    <t>RAT X SAT (Conforme GFIP)</t>
  </si>
  <si>
    <t>H</t>
  </si>
  <si>
    <t xml:space="preserve">Sebrae </t>
  </si>
  <si>
    <t>2.3</t>
  </si>
  <si>
    <t xml:space="preserve">BENEFÍCIOS MENSAIS E DIÁRIOS </t>
  </si>
  <si>
    <t xml:space="preserve">Transporte </t>
  </si>
  <si>
    <t xml:space="preserve">Auxílio alimentação </t>
  </si>
  <si>
    <t>Assistência médica e familiar</t>
  </si>
  <si>
    <t xml:space="preserve">Auxílio creche </t>
  </si>
  <si>
    <t xml:space="preserve">Seguro de vida </t>
  </si>
  <si>
    <t>TOTAL DE BENEFÍCIOS MENSAIS E DIÁRIOS</t>
  </si>
  <si>
    <t xml:space="preserve"> Quadro-resumo do módulo 2-ENCARGOS E BENEFÍCIOS ANUAIS, MENSAIS E DIÁRIOS</t>
  </si>
  <si>
    <t>13º SALÁRIO, FÉRIAS E ADICIONAL DE FÉRIAS</t>
  </si>
  <si>
    <t>GPS, FGTS E OUTRAS CONTRIBUIÇÕES</t>
  </si>
  <si>
    <t>BENEFÍCIOS DIÁRIOS E MENSAIS</t>
  </si>
  <si>
    <t xml:space="preserve"> MÓDULO 3: PROVISÃO PARA RESCISÃO</t>
  </si>
  <si>
    <t>3.0</t>
  </si>
  <si>
    <t>Provisão para Rescisão</t>
  </si>
  <si>
    <t>Aviso Prévio Indenizado</t>
  </si>
  <si>
    <t>Incidência do FGTS sobre Aviso Prévio Indenizado</t>
  </si>
  <si>
    <t>Aviso prévio trabalhado</t>
  </si>
  <si>
    <t>Incidência dos encargos do submódulo 2.2 sobre Aviso Prévio Trabalhado</t>
  </si>
  <si>
    <t xml:space="preserve">Multa do FGTS e Contribuição Social sobre o Aviso Prévio Trabalhado. </t>
  </si>
  <si>
    <t>MÓDULO 4 – CUSTO DE REPOSIÇÃO DO PROFISSIONAL AUSENTE</t>
  </si>
  <si>
    <t>Submódulo 4.1 - Ausências Legais</t>
  </si>
  <si>
    <t>Substituto na Cobertura de Férias (1/12 avos)</t>
  </si>
  <si>
    <t>Substituto na Cobertura de Ausências Legais (por doença)</t>
  </si>
  <si>
    <t>Substituto na Cobertura de Licença Paternidade</t>
  </si>
  <si>
    <t>Substituto na Cobertura Por Acidente de Trabalho</t>
  </si>
  <si>
    <t>Substituto na Cobertura de Licença Maternidade</t>
  </si>
  <si>
    <t>Outros  (Especificar)</t>
  </si>
  <si>
    <t>TOTAL DO SUBMÓDULO 4.1</t>
  </si>
  <si>
    <t>Submódulo 4.2 - Intrajornada</t>
  </si>
  <si>
    <t>Intervalo para Repouso ou Alimentação</t>
  </si>
  <si>
    <t xml:space="preserve"> QUADRO-RESUMO DO MÓDULO 4 - CUSTO DE REPOSIÇÃO DO PROFISSIONAL AUSENTE</t>
  </si>
  <si>
    <t>Módulo 4 – Encargos sociais e trabalhistas</t>
  </si>
  <si>
    <t>TOTAL DO MÓDULO 4</t>
  </si>
  <si>
    <t xml:space="preserve"> MÓDULO 5 – INSUMOS DIVERSOS</t>
  </si>
  <si>
    <t>INSUMOS DIVERSOS</t>
  </si>
  <si>
    <t>Uniformes e EPIs</t>
  </si>
  <si>
    <t>Materiais</t>
  </si>
  <si>
    <t>Equipamentos</t>
  </si>
  <si>
    <t>TOTAL DO MÓDULO 5</t>
  </si>
  <si>
    <t>TOTAL DOS ENCARGOS SOCIAIS E TRABALHISTAS</t>
  </si>
  <si>
    <t>(M-T)      CUSTO TOTAL DA PLANILHA PARA EFEITO DE CÁLCULO DO MÓDULO 6 (M1+M2+M3+M4+M5)</t>
  </si>
  <si>
    <t xml:space="preserve">MÓDULO 6 – CUSTOS INDIRETOS, TRIBUTOS E LUCRO </t>
  </si>
  <si>
    <t>Custos Indiretos, Tributos e Lucro</t>
  </si>
  <si>
    <t>Custos Indiretos</t>
  </si>
  <si>
    <t>Lucro (MT + M5.A)</t>
  </si>
  <si>
    <t>Subtotal  para   efeito  de  cálculo  do s Tributos  (MT + MA + MB) FATURAMENTO [(100-8,65)/100]</t>
  </si>
  <si>
    <t>Tributos</t>
  </si>
  <si>
    <t>C1. Tributos Federais</t>
  </si>
  <si>
    <t>C.2 Tributos Estaduais (especificar)</t>
  </si>
  <si>
    <t xml:space="preserve">C.3 Tributos Municipais </t>
  </si>
  <si>
    <t xml:space="preserve">C3-A (ISS 5,0) </t>
  </si>
  <si>
    <t>TOTAL DOS TRIBUTOS</t>
  </si>
  <si>
    <t>TOTAL DOS CUSTOS INDIRETOS, TRIBUTOS E LUCRO</t>
  </si>
  <si>
    <t>Mão-de-obra vinculada à execução contratual (valor por empregado)</t>
  </si>
  <si>
    <t>Módulo 1 – Composição da Remuneração</t>
  </si>
  <si>
    <t>Módulo 2 – Encargos e Benefícios Anuais, Mensais e Diários</t>
  </si>
  <si>
    <t>Módulo 3 – Provisão para Rescisão</t>
  </si>
  <si>
    <t>Módulo 4 – Custo de Reposição do Profissional Ausente</t>
  </si>
  <si>
    <t>Módulo 5 – Insumos Diversos</t>
  </si>
  <si>
    <t>Subtotal (A + B +C+ D)</t>
  </si>
  <si>
    <t>VALOR TOTAL POR EMPREGADO</t>
  </si>
  <si>
    <t>Flanela</t>
  </si>
  <si>
    <t>Carrinho de mão</t>
  </si>
  <si>
    <t xml:space="preserve">Senai ou Senac </t>
  </si>
  <si>
    <t xml:space="preserve">Salário Educação </t>
  </si>
  <si>
    <t>Outros</t>
  </si>
  <si>
    <t>Módulo 6 – Custos indiretos, tributos e lucro</t>
  </si>
  <si>
    <t>SERVENTE DE LIMPEZA SEM INSALUBRIDADE</t>
  </si>
  <si>
    <t>SERVENTE DE LIMPEZA COM INSALUBRIDADE</t>
  </si>
  <si>
    <t xml:space="preserve">C1-A  (PIS 0,65%)   </t>
  </si>
  <si>
    <t>C1. B  (COFINS 3,00%)</t>
  </si>
  <si>
    <t>VALOR TOTAL</t>
  </si>
  <si>
    <t xml:space="preserve">Base de cálculo: MÓDULO 1 </t>
  </si>
  <si>
    <t>Base de cálculo: MÓDULO 1 + MÓDULO 2 + MÓDULO 3 + UNIFORMES E EPIS</t>
  </si>
  <si>
    <t xml:space="preserve">Pátios e áreas verdes </t>
  </si>
  <si>
    <t>Unidade: CIAC - Centro Integrado de Atendimento ao Contribuinte</t>
  </si>
  <si>
    <t>Unidade: Posto Fiscal Aeroporto</t>
  </si>
  <si>
    <t>SERVENTE</t>
  </si>
  <si>
    <t>Unidade: Posto Fiscal Correios</t>
  </si>
  <si>
    <t>Unidade: Agência de Rendas de Guajará Mirim</t>
  </si>
  <si>
    <t>PLANILHA DE CUSTOS E FORMAÇÃO DE PREÇOS - AGÊNCIA DE RENDAS DE GUAJARÁ-MIRIM</t>
  </si>
  <si>
    <t>CIAC</t>
  </si>
  <si>
    <t>AGÊNCIA DE RENDAS DE GUAJARÁ MIRIM</t>
  </si>
  <si>
    <t>POSTO FISCAL DO IATA</t>
  </si>
  <si>
    <t>1ª Delegacia Regional da Receita Estadual</t>
  </si>
  <si>
    <t xml:space="preserve">LEVANTAMENTO DAS ÁREAS DAS UNIDADES DO LOTE 01: </t>
  </si>
  <si>
    <t>N° do processo:</t>
  </si>
  <si>
    <t>Licitação n°:</t>
  </si>
  <si>
    <t>Dia</t>
  </si>
  <si>
    <t>Hora</t>
  </si>
  <si>
    <t>Data da apresentação da proposta</t>
  </si>
  <si>
    <t>Numero de meses de execução contratual</t>
  </si>
  <si>
    <t>Acordo coletivo, convenção coletiva ou sentença normativa em dissídio coletivo</t>
  </si>
  <si>
    <t>Registro no M.T.E.</t>
  </si>
  <si>
    <t>Servente de Limpeza</t>
  </si>
  <si>
    <t>Salário Base Normativo da Categoria</t>
  </si>
  <si>
    <t>Auxílio Alimentação</t>
  </si>
  <si>
    <t>Seguro de vida</t>
  </si>
  <si>
    <t>Salário Minimo</t>
  </si>
  <si>
    <t>Data base da Categoria (dia/mês/ano)</t>
  </si>
  <si>
    <t>Vale Transporte Capital</t>
  </si>
  <si>
    <t>Vale Transporte Interior</t>
  </si>
  <si>
    <t>0030.006211/2023-01/SEFIN/RO</t>
  </si>
  <si>
    <t>SEAC/Sintelpes-RO</t>
  </si>
  <si>
    <t>Interna: pisos frios (m²):</t>
  </si>
  <si>
    <t>Interna: piso amadeirado (m²):</t>
  </si>
  <si>
    <t>Interna: banheiros (m²):</t>
  </si>
  <si>
    <t>Interna: almoxarifados e galpões (m²):</t>
  </si>
  <si>
    <t>Externa: pisos pavimentados contíguos às edificações (m²):</t>
  </si>
  <si>
    <t>Externa: Passeios e Arruamentos (m²):</t>
  </si>
  <si>
    <t>Externa: pátios e áreas verdes (m²):</t>
  </si>
  <si>
    <t>Esquadrias: face externa com exposição à situação de risco (m²):</t>
  </si>
  <si>
    <t xml:space="preserve">Esquadrias: face externa sem exposição à situação de risco (m²):                                </t>
  </si>
  <si>
    <t>Esquadrias: face interna (m²):</t>
  </si>
  <si>
    <t>1.1</t>
  </si>
  <si>
    <t>1.2</t>
  </si>
  <si>
    <t>1.3</t>
  </si>
  <si>
    <t>Lote</t>
  </si>
  <si>
    <t>LOTE 1</t>
  </si>
  <si>
    <t>1.4</t>
  </si>
  <si>
    <t>Unidade: Posto Fiscal do IATA</t>
  </si>
  <si>
    <t>Esquadrias: face interna sem exposição a situação de risco (m²):</t>
  </si>
  <si>
    <r>
      <t>(1x2) SUBTOTAL (R$/M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</t>
    </r>
  </si>
  <si>
    <t>Mâo de Obra</t>
  </si>
  <si>
    <r>
      <t>(1) Produtividade (1/M</t>
    </r>
    <r>
      <rPr>
        <vertAlign val="superscript"/>
        <sz val="11"/>
        <color theme="1"/>
        <rFont val="Calibri"/>
        <family val="2"/>
      </rPr>
      <t>2</t>
    </r>
    <r>
      <rPr>
        <sz val="11"/>
        <color theme="1"/>
        <rFont val="Calibri"/>
        <family val="2"/>
      </rPr>
      <t>)</t>
    </r>
  </si>
  <si>
    <t>(2) Preço do Homem-Mês (R$)</t>
  </si>
  <si>
    <t>Mão de Obra</t>
  </si>
  <si>
    <r>
      <t>(1) Produtividade (1/M</t>
    </r>
    <r>
      <rPr>
        <vertAlign val="superscript"/>
        <sz val="12"/>
        <color theme="1"/>
        <rFont val="Calibri"/>
        <family val="2"/>
      </rPr>
      <t>2</t>
    </r>
    <r>
      <rPr>
        <sz val="12"/>
        <color theme="1"/>
        <rFont val="Calibri"/>
        <family val="2"/>
      </rPr>
      <t>)</t>
    </r>
  </si>
  <si>
    <t>(2) Frequencia no mês (HORAS***)</t>
  </si>
  <si>
    <t>(3) Jornada de trabalho no mês (HORAS)</t>
  </si>
  <si>
    <t>(4) (1 x 2 x 3) (Ki ****)</t>
  </si>
  <si>
    <t>(5) Preço do Homem-Mês (R$)</t>
  </si>
  <si>
    <t>TIPO DE ÁREA</t>
  </si>
  <si>
    <t>PREÇO MENSAL UNITÁRIO (R$/M²)</t>
  </si>
  <si>
    <t>ÁREA
(M²)</t>
  </si>
  <si>
    <t>V. Mensal</t>
  </si>
  <si>
    <t>Valor Anual</t>
  </si>
  <si>
    <t>Funcionários</t>
  </si>
  <si>
    <t xml:space="preserve">TOTAL DA ÁREA </t>
  </si>
  <si>
    <t>VALOR FINAL DO ITEM</t>
  </si>
  <si>
    <t>Área Interna - Almoxarifados e galpões (m²)</t>
  </si>
  <si>
    <t>Área Interna - Piso amadeirado (m²)</t>
  </si>
  <si>
    <t>Face externa com exposição a situação de risco</t>
  </si>
  <si>
    <t>ÁREA (M²)</t>
  </si>
  <si>
    <t>1.5</t>
  </si>
  <si>
    <t>VALOR MENSAL DOS SERVIÇOS LOTE 1</t>
  </si>
  <si>
    <t>Dos Materiais do Lote 1 - 1ª DRRE de Porto Velho</t>
  </si>
  <si>
    <t>ESTIMATIVA DOS INSUMOS, MATERIAIS E EQUIPAMENTOS PARA - UNIDADES INTEGRANTES DO LOTE 01</t>
  </si>
  <si>
    <t>ESTIMATIVA DE MATERIAIS DE TRABALHO</t>
  </si>
  <si>
    <t>UNIDADES - LOTE 01</t>
  </si>
  <si>
    <t>Unit. (R$)</t>
  </si>
  <si>
    <t>Total (R$)</t>
  </si>
  <si>
    <t>V. útil (Meses)</t>
  </si>
  <si>
    <t>Valor Mensal (R$)</t>
  </si>
  <si>
    <t>Balde de 10 litros</t>
  </si>
  <si>
    <t>Balde de 20 litros</t>
  </si>
  <si>
    <t>Bomba pulverizador costal de 20 litros</t>
  </si>
  <si>
    <t>Desentupidor de pia com cabo</t>
  </si>
  <si>
    <r>
      <t xml:space="preserve">Desentupidor de vaso </t>
    </r>
    <r>
      <rPr>
        <sz val="11"/>
        <rFont val="Calibri"/>
        <family val="2"/>
      </rPr>
      <t>sanitário</t>
    </r>
    <r>
      <rPr>
        <sz val="11"/>
        <color rgb="FFFF0000"/>
        <rFont val="Calibri"/>
        <family val="2"/>
      </rPr>
      <t xml:space="preserve"> </t>
    </r>
    <r>
      <rPr>
        <sz val="11"/>
        <color rgb="FF000000"/>
        <rFont val="Calibri"/>
        <family val="2"/>
      </rPr>
      <t>com cabo de madeira</t>
    </r>
  </si>
  <si>
    <t>Espanador com cerdas de nylon</t>
  </si>
  <si>
    <t>Pá de lixo cabo longo</t>
  </si>
  <si>
    <t>Rodo Plástico  – 40 cm</t>
  </si>
  <si>
    <t>Rodo Plástico  – 65 cm</t>
  </si>
  <si>
    <t>Vassoura de gari – 40 cm</t>
  </si>
  <si>
    <t>Vassoura de pêlo – 40 cm</t>
  </si>
  <si>
    <t>Vassoura de pêlo – 60 cm</t>
  </si>
  <si>
    <t>Vassoura Material Cerdas: Piaçava , Material Cepa: Chapa De Aço , Comprimento Cepa: 21 CM, Características Adicionais: Com Cabo Madeira</t>
  </si>
  <si>
    <t>Vassoura de teto cabo longo (vasculho)</t>
  </si>
  <si>
    <t>Vassoura de vaso sanitário de nylon</t>
  </si>
  <si>
    <t>Cabo prolongador extensor - 3 metros</t>
  </si>
  <si>
    <t>ESTIMATIVA DE ACESSÓRIOS DE LIMPEZA</t>
  </si>
  <si>
    <t>LOTE 01</t>
  </si>
  <si>
    <t>Extensão cabo 3x2,5mm² – 30 metros</t>
  </si>
  <si>
    <t>Extensão cabo 3x2,5mm² – 50 metros</t>
  </si>
  <si>
    <t>Mangueira completa reforçada 1/2 – 50 metros</t>
  </si>
  <si>
    <t>Mangueira plástica reforçada 1/2 – 30 metros</t>
  </si>
  <si>
    <t>Refil mop molhado – algodão – (cabeleira)</t>
  </si>
  <si>
    <t>Refil mop seco – 40 cm – (cabeleira)</t>
  </si>
  <si>
    <t>Refil mop seco – 60 cm – (cabeleira)</t>
  </si>
  <si>
    <t>ESTIMATIVA DE MATERIAIS HIGIENE PESSOAL</t>
  </si>
  <si>
    <t>Papel higiênico interfolhado rolo de 250 metros (caixa com 8 unidades)</t>
  </si>
  <si>
    <t>CAIXA</t>
  </si>
  <si>
    <r>
      <t>Papel toalha interfolhado branco  (caixa com</t>
    </r>
    <r>
      <rPr>
        <sz val="11"/>
        <rFont val="Calibri"/>
        <family val="2"/>
      </rPr>
      <t xml:space="preserve"> 2.000</t>
    </r>
    <r>
      <rPr>
        <sz val="11"/>
        <color rgb="FF000000"/>
        <rFont val="Calibri"/>
        <family val="2"/>
      </rPr>
      <t xml:space="preserve"> folhas)</t>
    </r>
  </si>
  <si>
    <t>Sabonete líquido – refil spray 400 ml</t>
  </si>
  <si>
    <t>ESTIMATIVA DE UNIFORMES (*)</t>
  </si>
  <si>
    <r>
      <t>Calça em </t>
    </r>
    <r>
      <rPr>
        <i/>
        <sz val="11"/>
        <rFont val="Calibri"/>
        <family val="2"/>
      </rPr>
      <t>BRIM</t>
    </r>
    <r>
      <rPr>
        <sz val="11"/>
        <rFont val="Calibri"/>
        <family val="2"/>
      </rPr>
      <t> ou </t>
    </r>
    <r>
      <rPr>
        <i/>
        <sz val="11"/>
        <rFont val="Calibri"/>
        <family val="2"/>
      </rPr>
      <t>SARJA</t>
    </r>
    <r>
      <rPr>
        <sz val="11"/>
        <rFont val="Calibri"/>
        <family val="2"/>
      </rPr>
      <t> </t>
    </r>
  </si>
  <si>
    <t>Camiseta polo</t>
  </si>
  <si>
    <t>Cinto, tipo cadarço.</t>
  </si>
  <si>
    <t>Meia em algodão, par.</t>
  </si>
  <si>
    <t>PAR</t>
  </si>
  <si>
    <t>Sapato confortável antiderrapante, atende a NR 32.</t>
  </si>
  <si>
    <t>Crachá com identificação da empresa e do empregado.</t>
  </si>
  <si>
    <t>ESTIMATIVA DE EQUIPAMENTOS DE PROTEÇÃO INDIVIDUAL - EPI</t>
  </si>
  <si>
    <t>Bloqueador solar fator 50 (*)</t>
  </si>
  <si>
    <t>Bota de pvc preta cano médio (*)</t>
  </si>
  <si>
    <t>Capa de chuva com manga e capuz (*)</t>
  </si>
  <si>
    <t>Cinta Ergonômica Abdominal com Suspensório (*)</t>
  </si>
  <si>
    <t>Luva de látex antiderrapante com forro (*)</t>
  </si>
  <si>
    <t>Luva de malha pigmentada (*)</t>
  </si>
  <si>
    <t>Luva de procedimento não cirúrgico (CAIXA com 100 unidades)</t>
  </si>
  <si>
    <t>Luva De Proteção - Luva De Proteção Material: Nitrílica , Aplicação: Produtos Químicos E Biológico , Tamanho: Médio , Modelo: Hipoalérgica , Tipo Uso: Reutilizável , Apresentação: Texturizada</t>
  </si>
  <si>
    <r>
      <t>Óculos de segurança com lente cinza </t>
    </r>
    <r>
      <rPr>
        <b/>
        <sz val="11"/>
        <color rgb="FF000000"/>
        <rFont val="Calibri"/>
        <family val="2"/>
      </rPr>
      <t>(*)</t>
    </r>
  </si>
  <si>
    <r>
      <t xml:space="preserve">Óculos de segurança modelo rio de janeiro transparente </t>
    </r>
    <r>
      <rPr>
        <b/>
        <sz val="11"/>
        <color rgb="FF000000"/>
        <rFont val="Calibri"/>
        <family val="2"/>
      </rPr>
      <t>(*)</t>
    </r>
  </si>
  <si>
    <r>
      <t>Protetor auditivo tipo plug </t>
    </r>
    <r>
      <rPr>
        <b/>
        <sz val="11"/>
        <color rgb="FF000000"/>
        <rFont val="Calibri"/>
        <family val="2"/>
      </rPr>
      <t>(*)</t>
    </r>
  </si>
  <si>
    <t>Respirador sem manutenção pff1 (*)</t>
  </si>
  <si>
    <r>
      <t>Talabarte de segurança com mosquetão 55mm</t>
    </r>
    <r>
      <rPr>
        <b/>
        <sz val="11"/>
        <color rgb="FF000000"/>
        <rFont val="Calibri"/>
        <family val="2"/>
      </rPr>
      <t> </t>
    </r>
  </si>
  <si>
    <t xml:space="preserve">Cinto de segurança paraquedista completo </t>
  </si>
  <si>
    <t>ESTIMATIVA DE EQUIPAMENTOS DE PROTEÇÃO COLETIVA - EPC</t>
  </si>
  <si>
    <t>Cones de sinalização - 75 cm</t>
  </si>
  <si>
    <t>Tela de Proteção de Roçagem (retrátil com rodízio)</t>
  </si>
  <si>
    <t>Fita zebrada – rl – 200 mt</t>
  </si>
  <si>
    <t>Placas de sinalização – banheiro interditado</t>
  </si>
  <si>
    <t>Placas de sinalização – piso molhado</t>
  </si>
  <si>
    <t>Placas de sinalização (homens trabalhando acima) (*)</t>
  </si>
  <si>
    <t>Cavaletes de sinalização</t>
  </si>
  <si>
    <t>ESTIMATIVA DE EQUIPAMENTOS DIVERSOS</t>
  </si>
  <si>
    <t>Aparelho para limpar vidros - Unger</t>
  </si>
  <si>
    <t>Carrinhos de lixo para coleta externa</t>
  </si>
  <si>
    <t>Carro funcional completo com balde espremedor</t>
  </si>
  <si>
    <t>Carrinho tubular para 2 galões de água, com roda pneumática</t>
  </si>
  <si>
    <t>Dosador / misturador p/ 04 produtos quimicos</t>
  </si>
  <si>
    <t>Escada alumínio 5 degraus</t>
  </si>
  <si>
    <t>Escada alumínio 7 degraus</t>
  </si>
  <si>
    <t>Enxada</t>
  </si>
  <si>
    <t>Mop seco – 40 cm completo</t>
  </si>
  <si>
    <t>Mop seco – 60 cm completo</t>
  </si>
  <si>
    <t>Pá grande</t>
  </si>
  <si>
    <t>Corrente</t>
  </si>
  <si>
    <t>METRO</t>
  </si>
  <si>
    <t>Rastelo grande</t>
  </si>
  <si>
    <t>Terçado grande</t>
  </si>
  <si>
    <t>Tesourão de cortar grama</t>
  </si>
  <si>
    <t>Tesourão de podar arvores</t>
  </si>
  <si>
    <t>ESTIMATIVA DE MATERIAIS DE LIMPEZA</t>
  </si>
  <si>
    <t>Álcool líquido 70%  – 1 Litro</t>
  </si>
  <si>
    <t>Desodorizador para vaso sanitário</t>
  </si>
  <si>
    <t>Desodorizador para mictório</t>
  </si>
  <si>
    <t>Desodorizador de Ambientes 360ML</t>
  </si>
  <si>
    <t>Cera liquida para pisos – 5 Litros</t>
  </si>
  <si>
    <t>Hipoclorito  - bombona - 5L</t>
  </si>
  <si>
    <t>Desengordurante concentrado –  5 Litros</t>
  </si>
  <si>
    <t>Desinfetante superconcentrado –  5 Litros</t>
  </si>
  <si>
    <t>Detergente multi uso – limp. Geral – 500 ml</t>
  </si>
  <si>
    <t>Detergente neutro – 500 ml</t>
  </si>
  <si>
    <t>Detergente superconcentrado – 5 Litros</t>
  </si>
  <si>
    <t>Escova com cerdas de nylon</t>
  </si>
  <si>
    <t>Esponja dupla face</t>
  </si>
  <si>
    <t>Lã de aço – Pcotes com 8 UND</t>
  </si>
  <si>
    <t>Limpa vidros 1L</t>
  </si>
  <si>
    <t>Lustra móveis – 500 ml</t>
  </si>
  <si>
    <t>Polidor de metais – 200 ml</t>
  </si>
  <si>
    <t>Removedor de 1 Litro</t>
  </si>
  <si>
    <t>LITRO</t>
  </si>
  <si>
    <t>Sabão em barra  glicerinado (5 UND de 200g cada)</t>
  </si>
  <si>
    <t>PACOTE</t>
  </si>
  <si>
    <t>Sabão em pó – azul – 5 kg</t>
  </si>
  <si>
    <t>Pano Limpeza Material: 100% Algodão , Comprimento: 70 Cm, Largura: 58 Cm, Características Adicionais: Alvejado , Cor: Branca , Tipo: Saco</t>
  </si>
  <si>
    <t>Saco de lixo – 20 LT - preto - 100 unidades</t>
  </si>
  <si>
    <t>Saco de lixo – 50 LT - preto - 100 unidades</t>
  </si>
  <si>
    <t>Saco de lixo – 100 LT - preto - 100 unidades</t>
  </si>
  <si>
    <t>Saco de lixo azul - 20 LT - reciclável - 100 unidades</t>
  </si>
  <si>
    <t>Saco de lixo azul - 50 LT - reciclável - 100 unidades</t>
  </si>
  <si>
    <t>Saco de lixo azul - 100 LT - reciclável - 100 unidades</t>
  </si>
  <si>
    <t>Sapólio em pó 300ml</t>
  </si>
  <si>
    <t>Pano de prato tecido 100 % algodão novo e selecionado, branco alvejado (sem estampas) com acabamento em bainha dobrada em toda a volta.</t>
  </si>
  <si>
    <t>veneno inseticida - spray (360ml)</t>
  </si>
  <si>
    <t>Mata Mato (1 Litro)</t>
  </si>
  <si>
    <t>Servente PVH</t>
  </si>
  <si>
    <t>Servente Insalubre interior</t>
  </si>
  <si>
    <t>Local: Guajara e Posto Fiscal Iata
Cidade: Guajara-Mirim
Cargo: Servente Insalubre
Vale Transporte Fixo</t>
  </si>
  <si>
    <t>Locais: Ciac</t>
  </si>
  <si>
    <t>Locais: Agencia e Posto Fiscal de Guajará</t>
  </si>
  <si>
    <t>QUANTIDADE DE SERVENTES</t>
  </si>
  <si>
    <t xml:space="preserve">Área Interna - Pisos Frios </t>
  </si>
  <si>
    <t>Valor Mensal total:</t>
  </si>
  <si>
    <t>Quantidade de Funcionarios</t>
  </si>
  <si>
    <t>Valor por Funcionario</t>
  </si>
  <si>
    <t>RESUMO - INSUMOS</t>
  </si>
  <si>
    <t>Total Equipamentos</t>
  </si>
  <si>
    <t xml:space="preserve">Total Materiais </t>
  </si>
  <si>
    <t>Total Uniformes e EPI</t>
  </si>
  <si>
    <t>LOTE 01 - 1ª Delegacia Regional da Receita Estadual</t>
  </si>
  <si>
    <t>Os quantitativos foram levantados pelas unidades por intermédio do processo SEI n° 0030.011302/2024-31. Foi realizado uma média entre os quantitativos de lotes similares, a fim de estimar de forma mais precisa.</t>
  </si>
  <si>
    <t>Os valores utilizados são os constantes nos documentos 0052884274,0052884283,0052884294,0052884288,0052884294,0052884301,0052884303,0052884307,0052884307 dos processo SEI n° 0030.006211/2023-01.</t>
  </si>
  <si>
    <t>Unidade: CIAC - Centro Integrado de Atendimento ao Contribuinte - INSALUBRE</t>
  </si>
  <si>
    <t>Seguro de vida - Cotação simplificada Id 0056852287, processo 0030.003397/2024-10</t>
  </si>
  <si>
    <t>ÁREA POR  SERVENTE
(M²)</t>
  </si>
  <si>
    <t>ÁREA TOTAL
(M²)</t>
  </si>
  <si>
    <t>01/01/2025 A 31/12/2025</t>
  </si>
  <si>
    <t>RO000003/2025</t>
  </si>
  <si>
    <t xml:space="preserve">CBO (5143­20) Agente de Limpeza </t>
  </si>
  <si>
    <t>PLANILHA DE CUSTOS E FORMAÇÃO DE PREÇOS - LOTE 1</t>
  </si>
  <si>
    <t>CCT 2025</t>
  </si>
  <si>
    <t>POSTO FISCAL AEROPORTO/POSTO FISCAL CORREIOS</t>
  </si>
  <si>
    <t>Unidade: Posto Fiscal Aeroporto e Correios</t>
  </si>
  <si>
    <t>Local:  CIAC
Cidade: Porto Velho
Cargo: Servente Insalubre
Vale Transporte Variável</t>
  </si>
  <si>
    <t>Transporte  - 3 Vales por dia</t>
  </si>
  <si>
    <t>Servente Insalubre CIAC</t>
  </si>
  <si>
    <t>Servente Insalubre - Correios e Aerporto</t>
  </si>
  <si>
    <t>Locais: Correios e Aeroporto</t>
  </si>
  <si>
    <r>
      <t xml:space="preserve">Local: CIAC
Cidade: Porto Velho
Cargo: Servente </t>
    </r>
    <r>
      <rPr>
        <sz val="12"/>
        <color rgb="FFFF0000"/>
        <rFont val="Arial"/>
        <family val="2"/>
      </rPr>
      <t>SEM</t>
    </r>
    <r>
      <rPr>
        <sz val="12"/>
        <color theme="1"/>
        <rFont val="Arial"/>
        <family val="2"/>
      </rPr>
      <t xml:space="preserve"> Insalubridade
Vale Transporte Variável</t>
    </r>
  </si>
  <si>
    <t xml:space="preserve">OBJETO: Contratação de empresa especializada em prestação de serviços de limpeza e conservação, contendo postos de serventes com e sem insalubridade. </t>
  </si>
  <si>
    <t>Local: Correios e  Aeroporto
Cidade: Porto Velho
Cargo: Servente Insalubre
Vale Transporte Variável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</si>
</sst>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&quot;-&quot;??_-;_-@"/>
    <numFmt numFmtId="165" formatCode="_-&quot;R$&quot;\ * #,##0.00_-;\-&quot;R$&quot;\ * #,##0.00_-;_-&quot;R$&quot;\ * &quot;-&quot;??_-;_-@"/>
    <numFmt numFmtId="166" formatCode="&quot;R$&quot;\ #,##0.00"/>
    <numFmt numFmtId="167" formatCode="0.00000000"/>
    <numFmt numFmtId="168" formatCode="&quot;R$ &quot;#,##0.00"/>
    <numFmt numFmtId="169" formatCode="0.0000000"/>
    <numFmt numFmtId="170" formatCode="0.000%"/>
    <numFmt numFmtId="171" formatCode="0.0000"/>
  </numFmts>
  <fonts count="5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</font>
    <font>
      <b/>
      <sz val="11"/>
      <color theme="1"/>
      <name val="Calibri"/>
      <family val="2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sz val="10"/>
      <color theme="1"/>
      <name val="Calibri"/>
      <family val="2"/>
    </font>
    <font>
      <b/>
      <sz val="16"/>
      <color theme="1"/>
      <name val="Calibri"/>
      <family val="2"/>
    </font>
    <font>
      <b/>
      <sz val="10"/>
      <color theme="1"/>
      <name val="Calibri"/>
      <family val="2"/>
    </font>
    <font>
      <sz val="11"/>
      <color rgb="FFFFFFFF"/>
      <name val="Calibri"/>
      <family val="2"/>
      <scheme val="minor"/>
    </font>
    <font>
      <b/>
      <sz val="10"/>
      <color rgb="FFFF0000"/>
      <name val="Calibri"/>
      <family val="2"/>
    </font>
    <font>
      <sz val="12"/>
      <color theme="1"/>
      <name val="Arial"/>
      <family val="2"/>
    </font>
    <font>
      <sz val="11"/>
      <color rgb="FF000000"/>
      <name val="Calibri"/>
      <family val="2"/>
    </font>
    <font>
      <vertAlign val="superscript"/>
      <sz val="12"/>
      <color theme="1"/>
      <name val="Calibri"/>
      <family val="2"/>
    </font>
    <font>
      <strike/>
      <sz val="10"/>
      <color theme="1"/>
      <name val="Calibri"/>
      <family val="2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12"/>
      <name val="Calibri"/>
      <family val="2"/>
    </font>
    <font>
      <sz val="12"/>
      <color theme="1"/>
      <name val="Calibri"/>
      <family val="2"/>
    </font>
    <font>
      <sz val="11"/>
      <name val="Calibri"/>
      <family val="2"/>
    </font>
    <font>
      <b/>
      <sz val="10"/>
      <color rgb="FFFF0000"/>
      <name val="Calibri"/>
      <family val="2"/>
    </font>
    <font>
      <b/>
      <sz val="16"/>
      <color theme="1"/>
      <name val="Calibri"/>
      <family val="2"/>
      <scheme val="minor"/>
    </font>
    <font>
      <b/>
      <sz val="16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6"/>
      <name val="Calibri"/>
      <family val="2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vertAlign val="superscript"/>
      <sz val="11"/>
      <color theme="1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color rgb="FF000000"/>
      <name val="Calibri"/>
      <family val="2"/>
    </font>
    <font>
      <sz val="11"/>
      <color rgb="FFFF0000"/>
      <name val="Calibri"/>
      <family val="2"/>
    </font>
    <font>
      <i/>
      <sz val="11"/>
      <name val="Calibri"/>
      <family val="2"/>
    </font>
    <font>
      <i/>
      <sz val="11"/>
      <color rgb="FF333333"/>
      <name val="Calibri"/>
      <family val="2"/>
    </font>
    <font>
      <sz val="11"/>
      <color rgb="FF333333"/>
      <name val="Calibri"/>
      <family val="2"/>
    </font>
    <font>
      <sz val="11"/>
      <name val="Calibri"/>
      <family val="2"/>
      <scheme val="minor"/>
    </font>
    <font>
      <sz val="12"/>
      <color rgb="FFFF0000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1"/>
      <color rgb="FF000000"/>
      <name val="Calibri"/>
      <family val="2"/>
    </font>
    <font>
      <b/>
      <sz val="9"/>
      <color indexed="81"/>
      <name val="Segoe UI"/>
      <charset val="1"/>
    </font>
  </fonts>
  <fills count="29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8D8D8"/>
        <bgColor rgb="FFD8D8D8"/>
      </patternFill>
    </fill>
    <fill>
      <patternFill patternType="solid">
        <fgColor rgb="FFDDDDDD"/>
        <bgColor rgb="FFDDDDDD"/>
      </patternFill>
    </fill>
    <fill>
      <patternFill patternType="solid">
        <fgColor rgb="FFCCCCCC"/>
        <bgColor rgb="FFCCCCCC"/>
      </patternFill>
    </fill>
    <fill>
      <patternFill patternType="solid">
        <fgColor rgb="FF7F7F7F"/>
        <bgColor rgb="FF7F7F7F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rgb="FFBFBFBF"/>
      </patternFill>
    </fill>
    <fill>
      <patternFill patternType="solid">
        <fgColor theme="4" tint="0.79998168889431442"/>
        <bgColor rgb="FFD8D8D8"/>
      </patternFill>
    </fill>
    <fill>
      <patternFill patternType="solid">
        <fgColor theme="4" tint="0.79998168889431442"/>
        <bgColor rgb="FFBBBBBB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149998474074526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rgb="FF7F7F7F"/>
      </patternFill>
    </fill>
    <fill>
      <patternFill patternType="solid">
        <fgColor theme="2" tint="-0.249977111117893"/>
        <bgColor rgb="FFD8D8D8"/>
      </patternFill>
    </fill>
    <fill>
      <patternFill patternType="solid">
        <fgColor theme="2" tint="-0.249977111117893"/>
        <bgColor theme="0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theme="0"/>
      </patternFill>
    </fill>
    <fill>
      <patternFill patternType="solid">
        <fgColor theme="3" tint="0.749992370372631"/>
        <bgColor rgb="FF000000"/>
      </patternFill>
    </fill>
    <fill>
      <patternFill patternType="solid">
        <fgColor theme="3" tint="0.89999084444715716"/>
        <bgColor rgb="FF000000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3" tint="0.749992370372631"/>
        <bgColor indexed="64"/>
      </patternFill>
    </fill>
  </fills>
  <borders count="7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6">
    <xf numFmtId="0" fontId="0" fillId="0" borderId="0"/>
    <xf numFmtId="44" fontId="9" fillId="0" borderId="0" applyFont="0" applyFill="0" applyBorder="0" applyAlignment="0" applyProtection="0"/>
    <xf numFmtId="43" fontId="38" fillId="0" borderId="0" applyFont="0" applyFill="0" applyBorder="0" applyAlignment="0" applyProtection="0"/>
    <xf numFmtId="0" fontId="4" fillId="0" borderId="11"/>
    <xf numFmtId="44" fontId="4" fillId="0" borderId="11" applyFont="0" applyFill="0" applyBorder="0" applyAlignment="0" applyProtection="0"/>
    <xf numFmtId="9" fontId="4" fillId="0" borderId="11" applyFont="0" applyFill="0" applyBorder="0" applyAlignment="0" applyProtection="0"/>
  </cellStyleXfs>
  <cellXfs count="407">
    <xf numFmtId="0" fontId="0" fillId="0" borderId="0" xfId="0"/>
    <xf numFmtId="0" fontId="9" fillId="0" borderId="0" xfId="0" applyFont="1"/>
    <xf numFmtId="164" fontId="13" fillId="0" borderId="0" xfId="0" applyNumberFormat="1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3" fillId="2" borderId="8" xfId="0" applyFont="1" applyFill="1" applyBorder="1" applyAlignment="1">
      <alignment vertical="center"/>
    </xf>
    <xf numFmtId="168" fontId="12" fillId="2" borderId="8" xfId="0" applyNumberFormat="1" applyFont="1" applyFill="1" applyBorder="1" applyAlignment="1">
      <alignment vertical="center"/>
    </xf>
    <xf numFmtId="0" fontId="12" fillId="2" borderId="8" xfId="0" applyFont="1" applyFill="1" applyBorder="1" applyAlignment="1">
      <alignment vertical="center"/>
    </xf>
    <xf numFmtId="167" fontId="12" fillId="2" borderId="8" xfId="0" applyNumberFormat="1" applyFont="1" applyFill="1" applyBorder="1" applyAlignment="1">
      <alignment vertical="center"/>
    </xf>
    <xf numFmtId="169" fontId="12" fillId="2" borderId="8" xfId="0" applyNumberFormat="1" applyFont="1" applyFill="1" applyBorder="1" applyAlignment="1">
      <alignment vertical="center"/>
    </xf>
    <xf numFmtId="0" fontId="12" fillId="2" borderId="11" xfId="0" applyFont="1" applyFill="1" applyBorder="1" applyAlignment="1">
      <alignment horizontal="right" vertical="center"/>
    </xf>
    <xf numFmtId="0" fontId="13" fillId="2" borderId="8" xfId="0" applyFont="1" applyFill="1" applyBorder="1" applyAlignment="1">
      <alignment horizontal="center" vertical="center"/>
    </xf>
    <xf numFmtId="0" fontId="13" fillId="2" borderId="8" xfId="0" applyFont="1" applyFill="1" applyBorder="1" applyAlignment="1">
      <alignment horizontal="left" vertical="center"/>
    </xf>
    <xf numFmtId="4" fontId="13" fillId="2" borderId="8" xfId="0" applyNumberFormat="1" applyFont="1" applyFill="1" applyBorder="1" applyAlignment="1">
      <alignment horizontal="right" vertical="center"/>
    </xf>
    <xf numFmtId="0" fontId="13" fillId="2" borderId="11" xfId="0" applyFont="1" applyFill="1" applyBorder="1" applyAlignment="1">
      <alignment vertical="center"/>
    </xf>
    <xf numFmtId="0" fontId="14" fillId="2" borderId="15" xfId="0" applyFont="1" applyFill="1" applyBorder="1" applyAlignment="1">
      <alignment horizontal="center" vertical="center"/>
    </xf>
    <xf numFmtId="4" fontId="17" fillId="0" borderId="0" xfId="0" applyNumberFormat="1" applyFont="1"/>
    <xf numFmtId="0" fontId="7" fillId="7" borderId="8" xfId="0" applyFont="1" applyFill="1" applyBorder="1"/>
    <xf numFmtId="0" fontId="9" fillId="7" borderId="0" xfId="0" applyFont="1" applyFill="1"/>
    <xf numFmtId="4" fontId="16" fillId="2" borderId="21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left" vertical="top" wrapText="1"/>
    </xf>
    <xf numFmtId="0" fontId="14" fillId="2" borderId="4" xfId="0" applyFont="1" applyFill="1" applyBorder="1" applyAlignment="1">
      <alignment horizontal="left" vertical="center" wrapText="1"/>
    </xf>
    <xf numFmtId="4" fontId="16" fillId="2" borderId="10" xfId="0" applyNumberFormat="1" applyFont="1" applyFill="1" applyBorder="1" applyAlignment="1">
      <alignment vertical="center"/>
    </xf>
    <xf numFmtId="4" fontId="16" fillId="2" borderId="22" xfId="0" applyNumberFormat="1" applyFont="1" applyFill="1" applyBorder="1" applyAlignment="1">
      <alignment vertical="center"/>
    </xf>
    <xf numFmtId="165" fontId="16" fillId="2" borderId="23" xfId="0" applyNumberFormat="1" applyFont="1" applyFill="1" applyBorder="1" applyAlignment="1">
      <alignment horizontal="right" vertical="center" wrapText="1"/>
    </xf>
    <xf numFmtId="0" fontId="14" fillId="2" borderId="4" xfId="0" applyFont="1" applyFill="1" applyBorder="1" applyAlignment="1">
      <alignment horizontal="left" vertical="center"/>
    </xf>
    <xf numFmtId="4" fontId="16" fillId="2" borderId="21" xfId="0" applyNumberFormat="1" applyFont="1" applyFill="1" applyBorder="1" applyAlignment="1">
      <alignment vertical="center"/>
    </xf>
    <xf numFmtId="0" fontId="16" fillId="2" borderId="15" xfId="0" applyFont="1" applyFill="1" applyBorder="1" applyAlignment="1">
      <alignment horizontal="center" vertical="center" wrapText="1"/>
    </xf>
    <xf numFmtId="4" fontId="16" fillId="2" borderId="21" xfId="0" applyNumberFormat="1" applyFont="1" applyFill="1" applyBorder="1" applyAlignment="1">
      <alignment vertical="center" wrapText="1"/>
    </xf>
    <xf numFmtId="0" fontId="14" fillId="2" borderId="15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vertical="center"/>
    </xf>
    <xf numFmtId="4" fontId="16" fillId="2" borderId="21" xfId="0" applyNumberFormat="1" applyFont="1" applyFill="1" applyBorder="1" applyAlignment="1">
      <alignment horizontal="right" vertical="center"/>
    </xf>
    <xf numFmtId="9" fontId="16" fillId="2" borderId="4" xfId="0" applyNumberFormat="1" applyFont="1" applyFill="1" applyBorder="1" applyAlignment="1">
      <alignment horizontal="left" vertical="center"/>
    </xf>
    <xf numFmtId="0" fontId="14" fillId="2" borderId="4" xfId="0" applyFont="1" applyFill="1" applyBorder="1" applyAlignment="1">
      <alignment vertical="center" wrapText="1"/>
    </xf>
    <xf numFmtId="0" fontId="14" fillId="2" borderId="8" xfId="0" applyFont="1" applyFill="1" applyBorder="1" applyAlignment="1">
      <alignment vertical="center"/>
    </xf>
    <xf numFmtId="4" fontId="16" fillId="0" borderId="21" xfId="0" applyNumberFormat="1" applyFont="1" applyBorder="1" applyAlignment="1">
      <alignment vertical="center"/>
    </xf>
    <xf numFmtId="0" fontId="16" fillId="2" borderId="4" xfId="0" applyFont="1" applyFill="1" applyBorder="1" applyAlignment="1">
      <alignment vertical="center" wrapText="1"/>
    </xf>
    <xf numFmtId="10" fontId="16" fillId="2" borderId="4" xfId="0" applyNumberFormat="1" applyFont="1" applyFill="1" applyBorder="1" applyAlignment="1">
      <alignment vertical="center"/>
    </xf>
    <xf numFmtId="0" fontId="16" fillId="2" borderId="4" xfId="0" applyFont="1" applyFill="1" applyBorder="1" applyAlignment="1">
      <alignment vertical="center"/>
    </xf>
    <xf numFmtId="0" fontId="14" fillId="0" borderId="15" xfId="0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vertical="center"/>
    </xf>
    <xf numFmtId="166" fontId="16" fillId="2" borderId="8" xfId="0" applyNumberFormat="1" applyFont="1" applyFill="1" applyBorder="1" applyAlignment="1">
      <alignment horizontal="right" vertical="center"/>
    </xf>
    <xf numFmtId="166" fontId="16" fillId="2" borderId="4" xfId="0" applyNumberFormat="1" applyFont="1" applyFill="1" applyBorder="1" applyAlignment="1">
      <alignment horizontal="right" vertical="center"/>
    </xf>
    <xf numFmtId="170" fontId="16" fillId="2" borderId="4" xfId="0" applyNumberFormat="1" applyFont="1" applyFill="1" applyBorder="1" applyAlignment="1">
      <alignment horizontal="right" vertical="center"/>
    </xf>
    <xf numFmtId="9" fontId="16" fillId="2" borderId="4" xfId="0" applyNumberFormat="1" applyFont="1" applyFill="1" applyBorder="1" applyAlignment="1">
      <alignment horizontal="right" vertical="center"/>
    </xf>
    <xf numFmtId="0" fontId="16" fillId="2" borderId="8" xfId="0" applyFont="1" applyFill="1" applyBorder="1" applyAlignment="1">
      <alignment vertical="center"/>
    </xf>
    <xf numFmtId="10" fontId="12" fillId="7" borderId="8" xfId="0" applyNumberFormat="1" applyFont="1" applyFill="1" applyBorder="1" applyAlignment="1">
      <alignment vertical="center"/>
    </xf>
    <xf numFmtId="4" fontId="7" fillId="0" borderId="0" xfId="0" applyNumberFormat="1" applyFont="1"/>
    <xf numFmtId="171" fontId="16" fillId="2" borderId="4" xfId="0" applyNumberFormat="1" applyFont="1" applyFill="1" applyBorder="1" applyAlignment="1">
      <alignment vertical="center"/>
    </xf>
    <xf numFmtId="0" fontId="16" fillId="2" borderId="10" xfId="0" applyFont="1" applyFill="1" applyBorder="1" applyAlignment="1">
      <alignment horizontal="left" vertical="center" wrapText="1"/>
    </xf>
    <xf numFmtId="0" fontId="16" fillId="2" borderId="27" xfId="0" applyFont="1" applyFill="1" applyBorder="1" applyAlignment="1">
      <alignment horizontal="left" vertical="center" wrapText="1"/>
    </xf>
    <xf numFmtId="0" fontId="16" fillId="2" borderId="28" xfId="0" applyFont="1" applyFill="1" applyBorder="1" applyAlignment="1">
      <alignment horizontal="left" vertical="center" wrapText="1"/>
    </xf>
    <xf numFmtId="0" fontId="16" fillId="2" borderId="29" xfId="0" applyFont="1" applyFill="1" applyBorder="1" applyAlignment="1">
      <alignment horizontal="left" vertical="center" wrapText="1"/>
    </xf>
    <xf numFmtId="0" fontId="16" fillId="2" borderId="22" xfId="0" applyFont="1" applyFill="1" applyBorder="1" applyAlignment="1">
      <alignment horizontal="left" vertical="center"/>
    </xf>
    <xf numFmtId="0" fontId="16" fillId="2" borderId="10" xfId="0" applyFont="1" applyFill="1" applyBorder="1" applyAlignment="1">
      <alignment vertical="center"/>
    </xf>
    <xf numFmtId="0" fontId="14" fillId="2" borderId="22" xfId="0" applyFont="1" applyFill="1" applyBorder="1" applyAlignment="1">
      <alignment vertical="center"/>
    </xf>
    <xf numFmtId="0" fontId="14" fillId="2" borderId="27" xfId="0" applyFont="1" applyFill="1" applyBorder="1" applyAlignment="1">
      <alignment vertical="center" wrapText="1"/>
    </xf>
    <xf numFmtId="0" fontId="16" fillId="2" borderId="28" xfId="0" applyFont="1" applyFill="1" applyBorder="1" applyAlignment="1">
      <alignment horizontal="left" vertical="center"/>
    </xf>
    <xf numFmtId="10" fontId="16" fillId="2" borderId="31" xfId="0" applyNumberFormat="1" applyFont="1" applyFill="1" applyBorder="1" applyAlignment="1">
      <alignment vertical="center"/>
    </xf>
    <xf numFmtId="4" fontId="16" fillId="2" borderId="32" xfId="0" applyNumberFormat="1" applyFont="1" applyFill="1" applyBorder="1" applyAlignment="1">
      <alignment vertical="center"/>
    </xf>
    <xf numFmtId="0" fontId="16" fillId="2" borderId="33" xfId="0" applyFont="1" applyFill="1" applyBorder="1" applyAlignment="1">
      <alignment horizontal="center" vertical="center" wrapText="1"/>
    </xf>
    <xf numFmtId="0" fontId="16" fillId="2" borderId="34" xfId="0" applyFont="1" applyFill="1" applyBorder="1" applyAlignment="1">
      <alignment vertical="center"/>
    </xf>
    <xf numFmtId="10" fontId="16" fillId="2" borderId="34" xfId="0" applyNumberFormat="1" applyFont="1" applyFill="1" applyBorder="1" applyAlignment="1">
      <alignment vertical="center"/>
    </xf>
    <xf numFmtId="4" fontId="16" fillId="2" borderId="35" xfId="0" applyNumberFormat="1" applyFont="1" applyFill="1" applyBorder="1" applyAlignment="1">
      <alignment vertical="center"/>
    </xf>
    <xf numFmtId="0" fontId="14" fillId="2" borderId="8" xfId="0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/>
    </xf>
    <xf numFmtId="4" fontId="14" fillId="2" borderId="8" xfId="0" applyNumberFormat="1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vertical="center"/>
    </xf>
    <xf numFmtId="0" fontId="13" fillId="2" borderId="11" xfId="0" applyFont="1" applyFill="1" applyBorder="1" applyAlignment="1">
      <alignment horizontal="left" vertical="center"/>
    </xf>
    <xf numFmtId="0" fontId="14" fillId="2" borderId="25" xfId="0" applyFont="1" applyFill="1" applyBorder="1" applyAlignment="1">
      <alignment horizontal="center" vertical="center" wrapText="1"/>
    </xf>
    <xf numFmtId="166" fontId="16" fillId="2" borderId="29" xfId="0" applyNumberFormat="1" applyFont="1" applyFill="1" applyBorder="1" applyAlignment="1">
      <alignment horizontal="right" vertical="center"/>
    </xf>
    <xf numFmtId="4" fontId="16" fillId="2" borderId="37" xfId="0" applyNumberFormat="1" applyFont="1" applyFill="1" applyBorder="1" applyAlignment="1">
      <alignment vertical="center"/>
    </xf>
    <xf numFmtId="4" fontId="16" fillId="9" borderId="21" xfId="0" applyNumberFormat="1" applyFont="1" applyFill="1" applyBorder="1" applyAlignment="1">
      <alignment horizontal="center" vertical="center" wrapText="1"/>
    </xf>
    <xf numFmtId="166" fontId="16" fillId="2" borderId="4" xfId="0" applyNumberFormat="1" applyFont="1" applyFill="1" applyBorder="1" applyAlignment="1">
      <alignment horizontal="center" vertical="center"/>
    </xf>
    <xf numFmtId="0" fontId="13" fillId="2" borderId="43" xfId="0" applyFont="1" applyFill="1" applyBorder="1" applyAlignment="1">
      <alignment horizontal="center" vertical="center" wrapText="1"/>
    </xf>
    <xf numFmtId="0" fontId="24" fillId="2" borderId="10" xfId="0" applyFont="1" applyFill="1" applyBorder="1" applyAlignment="1">
      <alignment vertical="center" wrapText="1"/>
    </xf>
    <xf numFmtId="4" fontId="16" fillId="12" borderId="21" xfId="0" applyNumberFormat="1" applyFont="1" applyFill="1" applyBorder="1" applyAlignment="1">
      <alignment vertical="center"/>
    </xf>
    <xf numFmtId="10" fontId="16" fillId="12" borderId="4" xfId="0" applyNumberFormat="1" applyFont="1" applyFill="1" applyBorder="1" applyAlignment="1">
      <alignment vertical="center"/>
    </xf>
    <xf numFmtId="4" fontId="16" fillId="12" borderId="43" xfId="0" applyNumberFormat="1" applyFont="1" applyFill="1" applyBorder="1" applyAlignment="1">
      <alignment vertical="center"/>
    </xf>
    <xf numFmtId="10" fontId="16" fillId="12" borderId="4" xfId="0" applyNumberFormat="1" applyFont="1" applyFill="1" applyBorder="1" applyAlignment="1">
      <alignment vertical="center" wrapText="1"/>
    </xf>
    <xf numFmtId="4" fontId="16" fillId="12" borderId="37" xfId="0" applyNumberFormat="1" applyFont="1" applyFill="1" applyBorder="1" applyAlignment="1">
      <alignment vertical="center"/>
    </xf>
    <xf numFmtId="4" fontId="16" fillId="9" borderId="21" xfId="0" applyNumberFormat="1" applyFont="1" applyFill="1" applyBorder="1" applyAlignment="1">
      <alignment vertical="center"/>
    </xf>
    <xf numFmtId="4" fontId="16" fillId="12" borderId="41" xfId="0" applyNumberFormat="1" applyFont="1" applyFill="1" applyBorder="1" applyAlignment="1">
      <alignment vertical="center"/>
    </xf>
    <xf numFmtId="0" fontId="28" fillId="0" borderId="10" xfId="0" applyFont="1" applyBorder="1" applyAlignment="1">
      <alignment horizontal="center" vertical="center" wrapText="1"/>
    </xf>
    <xf numFmtId="3" fontId="13" fillId="0" borderId="10" xfId="0" applyNumberFormat="1" applyFont="1" applyBorder="1" applyAlignment="1">
      <alignment horizontal="center" vertical="center" wrapText="1"/>
    </xf>
    <xf numFmtId="166" fontId="13" fillId="0" borderId="10" xfId="0" applyNumberFormat="1" applyFont="1" applyBorder="1" applyAlignment="1">
      <alignment horizontal="center" vertical="center" wrapText="1"/>
    </xf>
    <xf numFmtId="166" fontId="13" fillId="0" borderId="48" xfId="0" applyNumberFormat="1" applyFont="1" applyBorder="1" applyAlignment="1">
      <alignment horizontal="center" vertical="center" wrapText="1"/>
    </xf>
    <xf numFmtId="166" fontId="12" fillId="12" borderId="53" xfId="0" applyNumberFormat="1" applyFont="1" applyFill="1" applyBorder="1" applyAlignment="1">
      <alignment horizontal="center" vertical="center" wrapText="1"/>
    </xf>
    <xf numFmtId="166" fontId="12" fillId="12" borderId="43" xfId="0" applyNumberFormat="1" applyFont="1" applyFill="1" applyBorder="1" applyAlignment="1">
      <alignment horizontal="center" vertical="center" wrapText="1"/>
    </xf>
    <xf numFmtId="0" fontId="12" fillId="0" borderId="43" xfId="0" applyFont="1" applyBorder="1" applyAlignment="1">
      <alignment horizontal="center" vertical="center" wrapText="1"/>
    </xf>
    <xf numFmtId="0" fontId="12" fillId="4" borderId="43" xfId="0" applyFont="1" applyFill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4" fontId="13" fillId="0" borderId="43" xfId="0" applyNumberFormat="1" applyFont="1" applyBorder="1" applyAlignment="1">
      <alignment horizontal="center" vertical="center" wrapText="1"/>
    </xf>
    <xf numFmtId="4" fontId="12" fillId="5" borderId="43" xfId="0" applyNumberFormat="1" applyFont="1" applyFill="1" applyBorder="1" applyAlignment="1">
      <alignment horizontal="center" vertical="center" wrapText="1"/>
    </xf>
    <xf numFmtId="0" fontId="0" fillId="15" borderId="43" xfId="0" applyFill="1" applyBorder="1" applyAlignment="1">
      <alignment horizontal="center" vertical="center"/>
    </xf>
    <xf numFmtId="0" fontId="34" fillId="16" borderId="43" xfId="0" applyFont="1" applyFill="1" applyBorder="1" applyAlignment="1">
      <alignment horizontal="left" vertical="center" wrapText="1"/>
    </xf>
    <xf numFmtId="0" fontId="34" fillId="0" borderId="43" xfId="0" applyFont="1" applyBorder="1" applyAlignment="1">
      <alignment horizontal="left" vertical="center" wrapText="1"/>
    </xf>
    <xf numFmtId="0" fontId="6" fillId="0" borderId="0" xfId="0" applyFont="1" applyAlignment="1">
      <alignment horizontal="left"/>
    </xf>
    <xf numFmtId="0" fontId="23" fillId="0" borderId="43" xfId="0" applyFont="1" applyBorder="1" applyAlignment="1">
      <alignment horizontal="left" vertical="center" wrapText="1"/>
    </xf>
    <xf numFmtId="1" fontId="35" fillId="16" borderId="43" xfId="0" applyNumberFormat="1" applyFont="1" applyFill="1" applyBorder="1" applyAlignment="1">
      <alignment horizontal="left" vertical="center"/>
    </xf>
    <xf numFmtId="1" fontId="35" fillId="0" borderId="43" xfId="0" applyNumberFormat="1" applyFont="1" applyBorder="1" applyAlignment="1">
      <alignment horizontal="left" vertical="center"/>
    </xf>
    <xf numFmtId="1" fontId="35" fillId="0" borderId="43" xfId="0" applyNumberFormat="1" applyFont="1" applyBorder="1" applyAlignment="1">
      <alignment horizontal="left" vertical="center" wrapText="1"/>
    </xf>
    <xf numFmtId="44" fontId="34" fillId="0" borderId="43" xfId="1" applyFont="1" applyBorder="1" applyAlignment="1">
      <alignment horizontal="left" vertical="center" wrapText="1"/>
    </xf>
    <xf numFmtId="4" fontId="27" fillId="0" borderId="43" xfId="0" applyNumberFormat="1" applyFont="1" applyBorder="1" applyAlignment="1">
      <alignment horizontal="center" vertical="center" wrapText="1"/>
    </xf>
    <xf numFmtId="0" fontId="28" fillId="0" borderId="43" xfId="0" applyFont="1" applyBorder="1" applyAlignment="1">
      <alignment horizontal="left" vertical="center"/>
    </xf>
    <xf numFmtId="0" fontId="28" fillId="0" borderId="43" xfId="0" applyFont="1" applyBorder="1" applyAlignment="1">
      <alignment horizontal="left" vertical="top" wrapText="1"/>
    </xf>
    <xf numFmtId="0" fontId="39" fillId="0" borderId="0" xfId="0" applyFont="1"/>
    <xf numFmtId="0" fontId="8" fillId="0" borderId="43" xfId="0" applyFont="1" applyBorder="1" applyAlignment="1">
      <alignment horizontal="center"/>
    </xf>
    <xf numFmtId="0" fontId="7" fillId="2" borderId="43" xfId="0" applyFont="1" applyFill="1" applyBorder="1" applyAlignment="1">
      <alignment horizontal="left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left" vertical="center"/>
    </xf>
    <xf numFmtId="0" fontId="7" fillId="2" borderId="43" xfId="0" applyFont="1" applyFill="1" applyBorder="1" applyAlignment="1">
      <alignment horizontal="center" vertical="center"/>
    </xf>
    <xf numFmtId="3" fontId="8" fillId="0" borderId="43" xfId="0" applyNumberFormat="1" applyFont="1" applyBorder="1" applyAlignment="1">
      <alignment horizontal="center" vertical="center"/>
    </xf>
    <xf numFmtId="167" fontId="7" fillId="2" borderId="43" xfId="0" applyNumberFormat="1" applyFont="1" applyFill="1" applyBorder="1" applyAlignment="1">
      <alignment horizontal="center" vertical="center"/>
    </xf>
    <xf numFmtId="168" fontId="7" fillId="2" borderId="43" xfId="0" applyNumberFormat="1" applyFont="1" applyFill="1" applyBorder="1" applyAlignment="1">
      <alignment horizontal="center" vertical="center"/>
    </xf>
    <xf numFmtId="0" fontId="5" fillId="0" borderId="0" xfId="0" applyFont="1"/>
    <xf numFmtId="0" fontId="7" fillId="2" borderId="8" xfId="0" applyFont="1" applyFill="1" applyBorder="1" applyAlignment="1">
      <alignment vertical="center"/>
    </xf>
    <xf numFmtId="0" fontId="11" fillId="2" borderId="8" xfId="0" applyFont="1" applyFill="1" applyBorder="1" applyAlignment="1">
      <alignment horizontal="right" vertical="center"/>
    </xf>
    <xf numFmtId="168" fontId="11" fillId="2" borderId="8" xfId="0" applyNumberFormat="1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168" fontId="11" fillId="20" borderId="43" xfId="0" applyNumberFormat="1" applyFont="1" applyFill="1" applyBorder="1" applyAlignment="1">
      <alignment horizontal="center" vertical="center"/>
    </xf>
    <xf numFmtId="0" fontId="41" fillId="21" borderId="43" xfId="0" applyFont="1" applyFill="1" applyBorder="1" applyAlignment="1">
      <alignment horizontal="center" vertical="center" wrapText="1"/>
    </xf>
    <xf numFmtId="0" fontId="41" fillId="21" borderId="45" xfId="0" applyFont="1" applyFill="1" applyBorder="1" applyAlignment="1">
      <alignment horizontal="center" vertical="center" wrapText="1"/>
    </xf>
    <xf numFmtId="44" fontId="42" fillId="11" borderId="43" xfId="1" applyFont="1" applyFill="1" applyBorder="1" applyAlignment="1">
      <alignment horizontal="center" vertical="center" wrapText="1"/>
    </xf>
    <xf numFmtId="43" fontId="42" fillId="11" borderId="43" xfId="2" applyFont="1" applyFill="1" applyBorder="1" applyAlignment="1">
      <alignment horizontal="right"/>
    </xf>
    <xf numFmtId="44" fontId="42" fillId="11" borderId="45" xfId="1" applyFont="1" applyFill="1" applyBorder="1" applyAlignment="1">
      <alignment vertical="center" wrapText="1"/>
    </xf>
    <xf numFmtId="2" fontId="42" fillId="11" borderId="43" xfId="1" applyNumberFormat="1" applyFont="1" applyFill="1" applyBorder="1" applyAlignment="1">
      <alignment horizontal="center" vertical="center" wrapText="1"/>
    </xf>
    <xf numFmtId="39" fontId="41" fillId="17" borderId="43" xfId="0" applyNumberFormat="1" applyFont="1" applyFill="1" applyBorder="1" applyAlignment="1">
      <alignment horizontal="right" vertical="center" wrapText="1"/>
    </xf>
    <xf numFmtId="44" fontId="41" fillId="17" borderId="45" xfId="1" applyFont="1" applyFill="1" applyBorder="1" applyAlignment="1">
      <alignment vertical="center" wrapText="1"/>
    </xf>
    <xf numFmtId="44" fontId="41" fillId="17" borderId="43" xfId="1" applyFont="1" applyFill="1" applyBorder="1" applyAlignment="1">
      <alignment horizontal="center" vertical="center" wrapText="1"/>
    </xf>
    <xf numFmtId="2" fontId="41" fillId="17" borderId="43" xfId="1" applyNumberFormat="1" applyFont="1" applyFill="1" applyBorder="1" applyAlignment="1">
      <alignment horizontal="center" vertical="center" wrapText="1"/>
    </xf>
    <xf numFmtId="0" fontId="12" fillId="20" borderId="45" xfId="0" applyFont="1" applyFill="1" applyBorder="1" applyAlignment="1">
      <alignment horizontal="center" vertical="center"/>
    </xf>
    <xf numFmtId="0" fontId="12" fillId="20" borderId="46" xfId="0" applyFont="1" applyFill="1" applyBorder="1" applyAlignment="1">
      <alignment horizontal="center" vertical="center"/>
    </xf>
    <xf numFmtId="0" fontId="12" fillId="20" borderId="47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168" fontId="11" fillId="0" borderId="11" xfId="0" applyNumberFormat="1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0" fontId="12" fillId="0" borderId="46" xfId="0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3" fillId="2" borderId="43" xfId="0" applyFont="1" applyFill="1" applyBorder="1" applyAlignment="1">
      <alignment horizontal="center" vertical="center"/>
    </xf>
    <xf numFmtId="0" fontId="13" fillId="2" borderId="45" xfId="0" applyFont="1" applyFill="1" applyBorder="1" applyAlignment="1">
      <alignment horizontal="center" vertical="center"/>
    </xf>
    <xf numFmtId="0" fontId="27" fillId="2" borderId="45" xfId="0" applyFont="1" applyFill="1" applyBorder="1" applyAlignment="1">
      <alignment horizontal="center" vertical="center"/>
    </xf>
    <xf numFmtId="167" fontId="13" fillId="2" borderId="43" xfId="0" applyNumberFormat="1" applyFont="1" applyFill="1" applyBorder="1" applyAlignment="1">
      <alignment horizontal="center" vertical="center"/>
    </xf>
    <xf numFmtId="169" fontId="13" fillId="2" borderId="43" xfId="0" applyNumberFormat="1" applyFont="1" applyFill="1" applyBorder="1" applyAlignment="1">
      <alignment horizontal="center" vertical="center"/>
    </xf>
    <xf numFmtId="168" fontId="13" fillId="2" borderId="43" xfId="0" applyNumberFormat="1" applyFont="1" applyFill="1" applyBorder="1" applyAlignment="1">
      <alignment horizontal="center" vertical="center"/>
    </xf>
    <xf numFmtId="43" fontId="42" fillId="11" borderId="43" xfId="2" applyFont="1" applyFill="1" applyBorder="1" applyAlignment="1">
      <alignment horizontal="center" vertical="center"/>
    </xf>
    <xf numFmtId="0" fontId="41" fillId="23" borderId="45" xfId="0" applyFont="1" applyFill="1" applyBorder="1" applyAlignment="1">
      <alignment horizontal="center" vertical="center" wrapText="1"/>
    </xf>
    <xf numFmtId="0" fontId="41" fillId="23" borderId="43" xfId="0" applyFont="1" applyFill="1" applyBorder="1" applyAlignment="1">
      <alignment horizontal="center" vertical="center" wrapText="1"/>
    </xf>
    <xf numFmtId="39" fontId="41" fillId="23" borderId="43" xfId="0" applyNumberFormat="1" applyFont="1" applyFill="1" applyBorder="1" applyAlignment="1">
      <alignment horizontal="right" vertical="center" wrapText="1"/>
    </xf>
    <xf numFmtId="44" fontId="41" fillId="23" borderId="45" xfId="1" applyFont="1" applyFill="1" applyBorder="1" applyAlignment="1">
      <alignment vertical="center" wrapText="1"/>
    </xf>
    <xf numFmtId="44" fontId="41" fillId="23" borderId="43" xfId="1" applyFont="1" applyFill="1" applyBorder="1" applyAlignment="1">
      <alignment horizontal="center" vertical="center" wrapText="1"/>
    </xf>
    <xf numFmtId="2" fontId="41" fillId="23" borderId="43" xfId="1" applyNumberFormat="1" applyFont="1" applyFill="1" applyBorder="1" applyAlignment="1">
      <alignment horizontal="center" vertical="center" wrapText="1"/>
    </xf>
    <xf numFmtId="166" fontId="0" fillId="0" borderId="0" xfId="1" applyNumberFormat="1" applyFont="1"/>
    <xf numFmtId="0" fontId="20" fillId="11" borderId="43" xfId="0" applyFont="1" applyFill="1" applyBorder="1" applyAlignment="1">
      <alignment horizontal="center" vertical="center" wrapText="1"/>
    </xf>
    <xf numFmtId="0" fontId="8" fillId="11" borderId="43" xfId="0" applyFont="1" applyFill="1" applyBorder="1" applyAlignment="1">
      <alignment horizontal="center" vertical="center" wrapText="1"/>
    </xf>
    <xf numFmtId="8" fontId="20" fillId="11" borderId="43" xfId="0" applyNumberFormat="1" applyFont="1" applyFill="1" applyBorder="1" applyAlignment="1">
      <alignment horizontal="center" vertical="center" wrapText="1"/>
    </xf>
    <xf numFmtId="166" fontId="20" fillId="11" borderId="43" xfId="1" applyNumberFormat="1" applyFont="1" applyFill="1" applyBorder="1" applyAlignment="1">
      <alignment horizontal="center" vertical="center" wrapText="1"/>
    </xf>
    <xf numFmtId="0" fontId="43" fillId="11" borderId="43" xfId="0" applyFont="1" applyFill="1" applyBorder="1" applyAlignment="1">
      <alignment horizontal="center" vertical="center" wrapText="1"/>
    </xf>
    <xf numFmtId="8" fontId="8" fillId="11" borderId="43" xfId="0" applyNumberFormat="1" applyFont="1" applyFill="1" applyBorder="1" applyAlignment="1">
      <alignment horizontal="center" vertical="center" wrapText="1"/>
    </xf>
    <xf numFmtId="0" fontId="46" fillId="11" borderId="0" xfId="0" applyFont="1" applyFill="1" applyAlignment="1">
      <alignment vertical="center" wrapText="1"/>
    </xf>
    <xf numFmtId="8" fontId="0" fillId="11" borderId="0" xfId="0" applyNumberFormat="1" applyFill="1" applyAlignment="1">
      <alignment horizontal="center" vertical="center" wrapText="1"/>
    </xf>
    <xf numFmtId="0" fontId="47" fillId="11" borderId="0" xfId="0" applyFont="1" applyFill="1" applyAlignment="1">
      <alignment horizontal="center"/>
    </xf>
    <xf numFmtId="8" fontId="7" fillId="11" borderId="0" xfId="0" applyNumberFormat="1" applyFont="1" applyFill="1"/>
    <xf numFmtId="8" fontId="0" fillId="11" borderId="0" xfId="0" applyNumberFormat="1" applyFill="1"/>
    <xf numFmtId="0" fontId="47" fillId="11" borderId="0" xfId="0" applyFont="1" applyFill="1" applyAlignment="1">
      <alignment horizontal="center" vertical="center" wrapText="1"/>
    </xf>
    <xf numFmtId="0" fontId="48" fillId="11" borderId="43" xfId="0" applyFont="1" applyFill="1" applyBorder="1" applyAlignment="1">
      <alignment horizontal="center" vertical="center" wrapText="1"/>
    </xf>
    <xf numFmtId="8" fontId="7" fillId="11" borderId="43" xfId="0" applyNumberFormat="1" applyFont="1" applyFill="1" applyBorder="1" applyAlignment="1">
      <alignment horizontal="center" vertical="center" wrapText="1"/>
    </xf>
    <xf numFmtId="0" fontId="48" fillId="11" borderId="43" xfId="0" applyFont="1" applyFill="1" applyBorder="1" applyAlignment="1">
      <alignment horizontal="center" vertical="center"/>
    </xf>
    <xf numFmtId="8" fontId="0" fillId="11" borderId="0" xfId="0" applyNumberFormat="1" applyFill="1" applyAlignment="1">
      <alignment horizontal="center"/>
    </xf>
    <xf numFmtId="44" fontId="42" fillId="0" borderId="43" xfId="1" applyFont="1" applyFill="1" applyBorder="1" applyAlignment="1">
      <alignment horizontal="center" vertical="center" wrapText="1"/>
    </xf>
    <xf numFmtId="0" fontId="3" fillId="0" borderId="43" xfId="0" applyFont="1" applyBorder="1"/>
    <xf numFmtId="0" fontId="12" fillId="14" borderId="52" xfId="0" applyFont="1" applyFill="1" applyBorder="1" applyAlignment="1">
      <alignment vertical="center" wrapText="1"/>
    </xf>
    <xf numFmtId="44" fontId="13" fillId="0" borderId="10" xfId="0" applyNumberFormat="1" applyFont="1" applyBorder="1" applyAlignment="1">
      <alignment horizontal="center" vertical="center" wrapText="1"/>
    </xf>
    <xf numFmtId="4" fontId="13" fillId="0" borderId="10" xfId="0" applyNumberFormat="1" applyFont="1" applyBorder="1" applyAlignment="1">
      <alignment horizontal="center" vertical="center" wrapText="1"/>
    </xf>
    <xf numFmtId="3" fontId="13" fillId="0" borderId="27" xfId="0" applyNumberFormat="1" applyFont="1" applyBorder="1" applyAlignment="1">
      <alignment horizontal="center" vertical="center" wrapText="1"/>
    </xf>
    <xf numFmtId="3" fontId="12" fillId="14" borderId="43" xfId="0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left" vertical="center" wrapText="1"/>
    </xf>
    <xf numFmtId="166" fontId="0" fillId="0" borderId="0" xfId="0" applyNumberFormat="1"/>
    <xf numFmtId="0" fontId="43" fillId="27" borderId="43" xfId="0" applyFont="1" applyFill="1" applyBorder="1" applyAlignment="1">
      <alignment horizontal="center" vertical="center" wrapText="1"/>
    </xf>
    <xf numFmtId="166" fontId="43" fillId="27" borderId="43" xfId="1" applyNumberFormat="1" applyFont="1" applyFill="1" applyBorder="1" applyAlignment="1">
      <alignment horizontal="center" vertical="center" wrapText="1"/>
    </xf>
    <xf numFmtId="0" fontId="33" fillId="11" borderId="43" xfId="0" applyFont="1" applyFill="1" applyBorder="1" applyAlignment="1">
      <alignment horizontal="center" vertical="center" wrapText="1"/>
    </xf>
    <xf numFmtId="0" fontId="50" fillId="11" borderId="43" xfId="0" applyFont="1" applyFill="1" applyBorder="1" applyAlignment="1">
      <alignment horizontal="center" vertical="center" wrapText="1"/>
    </xf>
    <xf numFmtId="3" fontId="43" fillId="27" borderId="43" xfId="0" applyNumberFormat="1" applyFont="1" applyFill="1" applyBorder="1" applyAlignment="1">
      <alignment horizontal="center" vertical="center" wrapText="1"/>
    </xf>
    <xf numFmtId="0" fontId="51" fillId="11" borderId="43" xfId="0" applyFont="1" applyFill="1" applyBorder="1" applyAlignment="1">
      <alignment horizontal="center" vertical="center" wrapText="1"/>
    </xf>
    <xf numFmtId="0" fontId="12" fillId="0" borderId="70" xfId="0" applyFont="1" applyBorder="1" applyAlignment="1">
      <alignment horizontal="center" vertical="center" wrapText="1"/>
    </xf>
    <xf numFmtId="0" fontId="12" fillId="0" borderId="71" xfId="0" applyFont="1" applyBorder="1" applyAlignment="1">
      <alignment horizontal="center" vertical="center" wrapText="1"/>
    </xf>
    <xf numFmtId="165" fontId="12" fillId="0" borderId="71" xfId="0" applyNumberFormat="1" applyFont="1" applyBorder="1" applyAlignment="1">
      <alignment horizontal="center" vertical="center" wrapText="1"/>
    </xf>
    <xf numFmtId="165" fontId="12" fillId="0" borderId="72" xfId="0" applyNumberFormat="1" applyFont="1" applyBorder="1" applyAlignment="1">
      <alignment horizontal="center" vertical="center" wrapText="1"/>
    </xf>
    <xf numFmtId="165" fontId="23" fillId="0" borderId="73" xfId="0" applyNumberFormat="1" applyFont="1" applyBorder="1" applyAlignment="1">
      <alignment horizontal="center" vertical="center" wrapText="1"/>
    </xf>
    <xf numFmtId="0" fontId="41" fillId="11" borderId="45" xfId="0" applyFont="1" applyFill="1" applyBorder="1" applyAlignment="1">
      <alignment horizontal="right" vertical="center" wrapText="1"/>
    </xf>
    <xf numFmtId="0" fontId="41" fillId="11" borderId="46" xfId="0" applyFont="1" applyFill="1" applyBorder="1" applyAlignment="1">
      <alignment horizontal="right" vertical="center" wrapText="1"/>
    </xf>
    <xf numFmtId="39" fontId="41" fillId="11" borderId="46" xfId="0" applyNumberFormat="1" applyFont="1" applyFill="1" applyBorder="1" applyAlignment="1">
      <alignment horizontal="right" vertical="center" wrapText="1"/>
    </xf>
    <xf numFmtId="44" fontId="41" fillId="11" borderId="46" xfId="1" applyFont="1" applyFill="1" applyBorder="1" applyAlignment="1">
      <alignment vertical="center" wrapText="1"/>
    </xf>
    <xf numFmtId="44" fontId="41" fillId="11" borderId="46" xfId="1" applyFont="1" applyFill="1" applyBorder="1" applyAlignment="1">
      <alignment horizontal="center" vertical="center" wrapText="1"/>
    </xf>
    <xf numFmtId="2" fontId="41" fillId="11" borderId="47" xfId="1" applyNumberFormat="1" applyFont="1" applyFill="1" applyBorder="1" applyAlignment="1">
      <alignment horizontal="center" vertical="center" wrapText="1"/>
    </xf>
    <xf numFmtId="0" fontId="0" fillId="11" borderId="0" xfId="0" applyFill="1"/>
    <xf numFmtId="1" fontId="12" fillId="0" borderId="50" xfId="0" applyNumberFormat="1" applyFont="1" applyBorder="1" applyAlignment="1">
      <alignment horizontal="center" vertical="center"/>
    </xf>
    <xf numFmtId="43" fontId="42" fillId="0" borderId="43" xfId="2" applyFont="1" applyFill="1" applyBorder="1" applyAlignment="1">
      <alignment horizontal="center" vertical="center"/>
    </xf>
    <xf numFmtId="44" fontId="42" fillId="0" borderId="45" xfId="1" applyFont="1" applyFill="1" applyBorder="1" applyAlignment="1">
      <alignment vertical="center" wrapText="1"/>
    </xf>
    <xf numFmtId="2" fontId="42" fillId="0" borderId="43" xfId="1" applyNumberFormat="1" applyFont="1" applyFill="1" applyBorder="1" applyAlignment="1">
      <alignment horizontal="center" vertical="center" wrapText="1"/>
    </xf>
    <xf numFmtId="43" fontId="42" fillId="0" borderId="43" xfId="2" applyFont="1" applyFill="1" applyBorder="1" applyAlignment="1">
      <alignment horizontal="right"/>
    </xf>
    <xf numFmtId="2" fontId="0" fillId="0" borderId="43" xfId="0" applyNumberFormat="1" applyBorder="1" applyAlignment="1">
      <alignment horizontal="center" vertical="center"/>
    </xf>
    <xf numFmtId="2" fontId="2" fillId="0" borderId="43" xfId="0" applyNumberFormat="1" applyFont="1" applyBorder="1" applyAlignment="1">
      <alignment horizontal="center" vertical="center"/>
    </xf>
    <xf numFmtId="0" fontId="7" fillId="0" borderId="43" xfId="0" applyFont="1" applyBorder="1" applyAlignment="1">
      <alignment horizontal="left" vertical="center" wrapText="1"/>
    </xf>
    <xf numFmtId="2" fontId="0" fillId="0" borderId="0" xfId="0" applyNumberFormat="1"/>
    <xf numFmtId="44" fontId="0" fillId="0" borderId="0" xfId="0" applyNumberFormat="1"/>
    <xf numFmtId="0" fontId="13" fillId="0" borderId="10" xfId="0" applyFont="1" applyBorder="1" applyAlignment="1">
      <alignment horizontal="center" vertical="center" wrapText="1"/>
    </xf>
    <xf numFmtId="2" fontId="0" fillId="15" borderId="43" xfId="0" applyNumberFormat="1" applyFill="1" applyBorder="1" applyAlignment="1">
      <alignment horizontal="center" vertical="center"/>
    </xf>
    <xf numFmtId="4" fontId="12" fillId="14" borderId="52" xfId="0" applyNumberFormat="1" applyFont="1" applyFill="1" applyBorder="1" applyAlignment="1">
      <alignment vertical="center" wrapText="1"/>
    </xf>
    <xf numFmtId="4" fontId="13" fillId="0" borderId="27" xfId="0" applyNumberFormat="1" applyFont="1" applyBorder="1" applyAlignment="1">
      <alignment horizontal="center" vertical="center" wrapText="1"/>
    </xf>
    <xf numFmtId="4" fontId="12" fillId="14" borderId="43" xfId="0" applyNumberFormat="1" applyFont="1" applyFill="1" applyBorder="1" applyAlignment="1">
      <alignment horizontal="center" vertical="center" wrapText="1"/>
    </xf>
    <xf numFmtId="0" fontId="1" fillId="0" borderId="43" xfId="0" applyFont="1" applyBorder="1"/>
    <xf numFmtId="0" fontId="23" fillId="14" borderId="51" xfId="0" applyFont="1" applyFill="1" applyBorder="1" applyAlignment="1">
      <alignment horizontal="center" vertical="center" wrapText="1"/>
    </xf>
    <xf numFmtId="0" fontId="23" fillId="14" borderId="52" xfId="0" applyFont="1" applyFill="1" applyBorder="1" applyAlignment="1">
      <alignment horizontal="center" vertical="center" wrapText="1"/>
    </xf>
    <xf numFmtId="0" fontId="8" fillId="10" borderId="43" xfId="0" applyFont="1" applyFill="1" applyBorder="1" applyAlignment="1">
      <alignment horizontal="center" wrapText="1"/>
    </xf>
    <xf numFmtId="0" fontId="12" fillId="13" borderId="43" xfId="0" applyFont="1" applyFill="1" applyBorder="1" applyAlignment="1">
      <alignment horizontal="center" vertical="center" wrapText="1"/>
    </xf>
    <xf numFmtId="0" fontId="15" fillId="13" borderId="43" xfId="0" applyFont="1" applyFill="1" applyBorder="1" applyAlignment="1">
      <alignment horizontal="center" vertical="center" wrapText="1"/>
    </xf>
    <xf numFmtId="0" fontId="36" fillId="10" borderId="43" xfId="0" applyFont="1" applyFill="1" applyBorder="1" applyAlignment="1">
      <alignment horizontal="center"/>
    </xf>
    <xf numFmtId="0" fontId="37" fillId="10" borderId="43" xfId="0" applyFont="1" applyFill="1" applyBorder="1" applyAlignment="1">
      <alignment horizontal="center"/>
    </xf>
    <xf numFmtId="0" fontId="23" fillId="14" borderId="43" xfId="0" applyFont="1" applyFill="1" applyBorder="1" applyAlignment="1">
      <alignment horizontal="center" vertical="center" wrapText="1"/>
    </xf>
    <xf numFmtId="0" fontId="12" fillId="14" borderId="43" xfId="0" applyFont="1" applyFill="1" applyBorder="1" applyAlignment="1">
      <alignment horizontal="center" vertical="center" wrapText="1"/>
    </xf>
    <xf numFmtId="1" fontId="23" fillId="0" borderId="43" xfId="0" applyNumberFormat="1" applyFont="1" applyBorder="1" applyAlignment="1">
      <alignment horizontal="center" vertical="center"/>
    </xf>
    <xf numFmtId="0" fontId="19" fillId="24" borderId="62" xfId="0" applyFont="1" applyFill="1" applyBorder="1" applyAlignment="1">
      <alignment horizontal="left" vertical="center" wrapText="1"/>
    </xf>
    <xf numFmtId="0" fontId="19" fillId="24" borderId="63" xfId="0" applyFont="1" applyFill="1" applyBorder="1" applyAlignment="1">
      <alignment horizontal="left" vertical="center" wrapText="1"/>
    </xf>
    <xf numFmtId="0" fontId="19" fillId="24" borderId="64" xfId="0" applyFont="1" applyFill="1" applyBorder="1" applyAlignment="1">
      <alignment horizontal="left" vertical="center" wrapText="1"/>
    </xf>
    <xf numFmtId="0" fontId="19" fillId="24" borderId="65" xfId="0" applyFont="1" applyFill="1" applyBorder="1" applyAlignment="1">
      <alignment horizontal="left" vertical="center" wrapText="1"/>
    </xf>
    <xf numFmtId="0" fontId="19" fillId="24" borderId="11" xfId="0" applyFont="1" applyFill="1" applyBorder="1" applyAlignment="1">
      <alignment horizontal="left" vertical="center" wrapText="1"/>
    </xf>
    <xf numFmtId="0" fontId="19" fillId="24" borderId="66" xfId="0" applyFont="1" applyFill="1" applyBorder="1" applyAlignment="1">
      <alignment horizontal="left" vertical="center" wrapText="1"/>
    </xf>
    <xf numFmtId="0" fontId="19" fillId="24" borderId="67" xfId="0" applyFont="1" applyFill="1" applyBorder="1" applyAlignment="1">
      <alignment horizontal="left" vertical="center" wrapText="1"/>
    </xf>
    <xf numFmtId="0" fontId="19" fillId="24" borderId="68" xfId="0" applyFont="1" applyFill="1" applyBorder="1" applyAlignment="1">
      <alignment horizontal="left" vertical="center" wrapText="1"/>
    </xf>
    <xf numFmtId="0" fontId="19" fillId="24" borderId="69" xfId="0" applyFont="1" applyFill="1" applyBorder="1" applyAlignment="1">
      <alignment horizontal="left" vertical="center" wrapText="1"/>
    </xf>
    <xf numFmtId="0" fontId="16" fillId="2" borderId="54" xfId="0" applyFont="1" applyFill="1" applyBorder="1" applyAlignment="1">
      <alignment horizontal="center" vertical="center"/>
    </xf>
    <xf numFmtId="0" fontId="16" fillId="2" borderId="55" xfId="0" applyFont="1" applyFill="1" applyBorder="1" applyAlignment="1">
      <alignment horizontal="center" vertical="center"/>
    </xf>
    <xf numFmtId="0" fontId="16" fillId="2" borderId="56" xfId="0" applyFont="1" applyFill="1" applyBorder="1" applyAlignment="1">
      <alignment horizontal="center" vertical="center"/>
    </xf>
    <xf numFmtId="0" fontId="30" fillId="2" borderId="17" xfId="0" applyFont="1" applyFill="1" applyBorder="1" applyAlignment="1">
      <alignment horizontal="center" vertical="center" wrapText="1"/>
    </xf>
    <xf numFmtId="0" fontId="8" fillId="0" borderId="6" xfId="0" applyFont="1" applyBorder="1"/>
    <xf numFmtId="0" fontId="8" fillId="0" borderId="16" xfId="0" applyFont="1" applyBorder="1"/>
    <xf numFmtId="0" fontId="16" fillId="12" borderId="17" xfId="0" applyFont="1" applyFill="1" applyBorder="1" applyAlignment="1">
      <alignment horizontal="right" vertical="center" wrapText="1"/>
    </xf>
    <xf numFmtId="0" fontId="8" fillId="10" borderId="6" xfId="0" applyFont="1" applyFill="1" applyBorder="1"/>
    <xf numFmtId="0" fontId="8" fillId="10" borderId="7" xfId="0" applyFont="1" applyFill="1" applyBorder="1"/>
    <xf numFmtId="0" fontId="16" fillId="2" borderId="17" xfId="0" applyFont="1" applyFill="1" applyBorder="1" applyAlignment="1">
      <alignment horizontal="center" vertical="center"/>
    </xf>
    <xf numFmtId="0" fontId="8" fillId="0" borderId="7" xfId="0" applyFont="1" applyBorder="1"/>
    <xf numFmtId="0" fontId="16" fillId="2" borderId="5" xfId="0" applyFont="1" applyFill="1" applyBorder="1" applyAlignment="1">
      <alignment horizontal="left" vertical="center" wrapText="1"/>
    </xf>
    <xf numFmtId="0" fontId="24" fillId="2" borderId="5" xfId="0" applyFont="1" applyFill="1" applyBorder="1" applyAlignment="1">
      <alignment horizontal="left" vertical="center" wrapText="1"/>
    </xf>
    <xf numFmtId="0" fontId="29" fillId="0" borderId="6" xfId="0" applyFont="1" applyBorder="1"/>
    <xf numFmtId="0" fontId="29" fillId="0" borderId="7" xfId="0" applyFont="1" applyBorder="1"/>
    <xf numFmtId="0" fontId="24" fillId="2" borderId="10" xfId="0" applyFont="1" applyFill="1" applyBorder="1" applyAlignment="1">
      <alignment horizontal="left" vertical="center" wrapText="1"/>
    </xf>
    <xf numFmtId="0" fontId="24" fillId="2" borderId="22" xfId="0" applyFont="1" applyFill="1" applyBorder="1" applyAlignment="1">
      <alignment horizontal="left" vertical="center" wrapText="1"/>
    </xf>
    <xf numFmtId="0" fontId="24" fillId="2" borderId="24" xfId="0" applyFont="1" applyFill="1" applyBorder="1" applyAlignment="1">
      <alignment horizontal="left" vertical="center" wrapText="1"/>
    </xf>
    <xf numFmtId="0" fontId="24" fillId="2" borderId="10" xfId="0" applyFont="1" applyFill="1" applyBorder="1" applyAlignment="1">
      <alignment horizontal="left" vertical="center"/>
    </xf>
    <xf numFmtId="0" fontId="24" fillId="2" borderId="24" xfId="0" applyFont="1" applyFill="1" applyBorder="1" applyAlignment="1">
      <alignment horizontal="left" vertical="center"/>
    </xf>
    <xf numFmtId="0" fontId="18" fillId="2" borderId="17" xfId="0" applyFont="1" applyFill="1" applyBorder="1" applyAlignment="1">
      <alignment horizontal="center" vertical="center" wrapText="1"/>
    </xf>
    <xf numFmtId="0" fontId="16" fillId="12" borderId="38" xfId="0" applyFont="1" applyFill="1" applyBorder="1" applyAlignment="1">
      <alignment horizontal="center" vertical="center" wrapText="1"/>
    </xf>
    <xf numFmtId="0" fontId="8" fillId="10" borderId="39" xfId="0" applyFont="1" applyFill="1" applyBorder="1" applyAlignment="1">
      <alignment horizontal="center"/>
    </xf>
    <xf numFmtId="0" fontId="8" fillId="10" borderId="40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 vertical="center" wrapText="1"/>
    </xf>
    <xf numFmtId="0" fontId="16" fillId="12" borderId="22" xfId="0" applyFont="1" applyFill="1" applyBorder="1" applyAlignment="1">
      <alignment horizontal="center" vertical="center" wrapText="1"/>
    </xf>
    <xf numFmtId="0" fontId="16" fillId="12" borderId="24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8" fillId="0" borderId="44" xfId="0" applyFont="1" applyBorder="1"/>
    <xf numFmtId="0" fontId="16" fillId="2" borderId="27" xfId="0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8" fillId="0" borderId="42" xfId="0" applyFont="1" applyBorder="1"/>
    <xf numFmtId="0" fontId="8" fillId="0" borderId="36" xfId="0" applyFont="1" applyBorder="1"/>
    <xf numFmtId="0" fontId="16" fillId="12" borderId="43" xfId="0" applyFont="1" applyFill="1" applyBorder="1" applyAlignment="1">
      <alignment horizontal="center" vertical="center" wrapText="1"/>
    </xf>
    <xf numFmtId="0" fontId="8" fillId="10" borderId="9" xfId="0" applyFont="1" applyFill="1" applyBorder="1"/>
    <xf numFmtId="0" fontId="14" fillId="2" borderId="27" xfId="0" applyFont="1" applyFill="1" applyBorder="1" applyAlignment="1">
      <alignment vertical="center" wrapText="1"/>
    </xf>
    <xf numFmtId="0" fontId="16" fillId="12" borderId="43" xfId="0" applyFont="1" applyFill="1" applyBorder="1" applyAlignment="1">
      <alignment horizontal="right" vertical="center" wrapText="1"/>
    </xf>
    <xf numFmtId="0" fontId="8" fillId="10" borderId="43" xfId="0" applyFont="1" applyFill="1" applyBorder="1"/>
    <xf numFmtId="0" fontId="14" fillId="2" borderId="5" xfId="0" applyFont="1" applyFill="1" applyBorder="1" applyAlignment="1">
      <alignment vertical="center" wrapText="1"/>
    </xf>
    <xf numFmtId="9" fontId="16" fillId="2" borderId="5" xfId="0" applyNumberFormat="1" applyFont="1" applyFill="1" applyBorder="1" applyAlignment="1">
      <alignment horizontal="left" vertical="center"/>
    </xf>
    <xf numFmtId="170" fontId="16" fillId="2" borderId="5" xfId="0" applyNumberFormat="1" applyFont="1" applyFill="1" applyBorder="1" applyAlignment="1">
      <alignment horizontal="left" vertical="center"/>
    </xf>
    <xf numFmtId="0" fontId="26" fillId="0" borderId="10" xfId="0" applyFont="1" applyBorder="1" applyAlignment="1">
      <alignment horizontal="left" vertical="center"/>
    </xf>
    <xf numFmtId="0" fontId="26" fillId="0" borderId="24" xfId="0" applyFont="1" applyBorder="1" applyAlignment="1">
      <alignment horizontal="left" vertical="center"/>
    </xf>
    <xf numFmtId="0" fontId="16" fillId="9" borderId="17" xfId="0" applyFont="1" applyFill="1" applyBorder="1" applyAlignment="1">
      <alignment horizontal="center" vertical="center"/>
    </xf>
    <xf numFmtId="0" fontId="16" fillId="9" borderId="22" xfId="0" applyFont="1" applyFill="1" applyBorder="1" applyAlignment="1">
      <alignment horizontal="center" vertical="center"/>
    </xf>
    <xf numFmtId="0" fontId="16" fillId="9" borderId="23" xfId="0" applyFont="1" applyFill="1" applyBorder="1" applyAlignment="1">
      <alignment horizontal="center" vertical="center"/>
    </xf>
    <xf numFmtId="0" fontId="15" fillId="15" borderId="1" xfId="0" applyFont="1" applyFill="1" applyBorder="1" applyAlignment="1">
      <alignment horizontal="center" vertical="center" wrapText="1"/>
    </xf>
    <xf numFmtId="0" fontId="8" fillId="15" borderId="2" xfId="0" applyFont="1" applyFill="1" applyBorder="1"/>
    <xf numFmtId="0" fontId="8" fillId="15" borderId="3" xfId="0" applyFont="1" applyFill="1" applyBorder="1"/>
    <xf numFmtId="0" fontId="25" fillId="9" borderId="12" xfId="0" applyFont="1" applyFill="1" applyBorder="1" applyAlignment="1">
      <alignment horizontal="center" vertical="center"/>
    </xf>
    <xf numFmtId="0" fontId="8" fillId="10" borderId="13" xfId="0" applyFont="1" applyFill="1" applyBorder="1"/>
    <xf numFmtId="0" fontId="8" fillId="10" borderId="14" xfId="0" applyFont="1" applyFill="1" applyBorder="1"/>
    <xf numFmtId="49" fontId="24" fillId="2" borderId="5" xfId="0" applyNumberFormat="1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6" fillId="6" borderId="17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left" vertical="center"/>
    </xf>
    <xf numFmtId="0" fontId="8" fillId="0" borderId="7" xfId="0" applyFont="1" applyBorder="1" applyAlignment="1">
      <alignment horizontal="left"/>
    </xf>
    <xf numFmtId="0" fontId="16" fillId="2" borderId="18" xfId="0" applyFont="1" applyFill="1" applyBorder="1" applyAlignment="1">
      <alignment horizontal="center" vertical="center"/>
    </xf>
    <xf numFmtId="0" fontId="8" fillId="0" borderId="19" xfId="0" applyFont="1" applyBorder="1"/>
    <xf numFmtId="0" fontId="8" fillId="0" borderId="20" xfId="0" applyFont="1" applyBorder="1"/>
    <xf numFmtId="0" fontId="8" fillId="0" borderId="13" xfId="0" applyFont="1" applyBorder="1"/>
    <xf numFmtId="0" fontId="8" fillId="0" borderId="14" xfId="0" applyFont="1" applyBorder="1"/>
    <xf numFmtId="0" fontId="16" fillId="2" borderId="17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right" vertical="center" wrapText="1"/>
    </xf>
    <xf numFmtId="0" fontId="8" fillId="0" borderId="6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14" fontId="14" fillId="2" borderId="5" xfId="0" applyNumberFormat="1" applyFont="1" applyFill="1" applyBorder="1" applyAlignment="1">
      <alignment horizontal="right" vertical="center"/>
    </xf>
    <xf numFmtId="0" fontId="25" fillId="2" borderId="5" xfId="0" applyFont="1" applyFill="1" applyBorder="1" applyAlignment="1">
      <alignment horizontal="left" vertical="center" wrapText="1"/>
    </xf>
    <xf numFmtId="0" fontId="16" fillId="12" borderId="12" xfId="0" applyFont="1" applyFill="1" applyBorder="1" applyAlignment="1">
      <alignment horizontal="right" vertical="center" wrapText="1"/>
    </xf>
    <xf numFmtId="0" fontId="8" fillId="10" borderId="36" xfId="0" applyFont="1" applyFill="1" applyBorder="1"/>
    <xf numFmtId="0" fontId="16" fillId="9" borderId="17" xfId="0" applyFont="1" applyFill="1" applyBorder="1" applyAlignment="1">
      <alignment horizontal="center" vertical="center" wrapText="1"/>
    </xf>
    <xf numFmtId="0" fontId="16" fillId="9" borderId="22" xfId="0" applyFont="1" applyFill="1" applyBorder="1" applyAlignment="1">
      <alignment horizontal="center" vertical="center" wrapText="1"/>
    </xf>
    <xf numFmtId="0" fontId="16" fillId="9" borderId="24" xfId="0" applyFont="1" applyFill="1" applyBorder="1" applyAlignment="1">
      <alignment horizontal="center" vertical="center" wrapText="1"/>
    </xf>
    <xf numFmtId="10" fontId="16" fillId="2" borderId="5" xfId="0" applyNumberFormat="1" applyFont="1" applyFill="1" applyBorder="1" applyAlignment="1">
      <alignment horizontal="right" vertical="center"/>
    </xf>
    <xf numFmtId="0" fontId="16" fillId="2" borderId="25" xfId="0" applyFont="1" applyFill="1" applyBorder="1" applyAlignment="1">
      <alignment horizontal="center" vertical="center" wrapText="1"/>
    </xf>
    <xf numFmtId="0" fontId="8" fillId="0" borderId="26" xfId="0" applyFont="1" applyBorder="1"/>
    <xf numFmtId="0" fontId="8" fillId="0" borderId="30" xfId="0" applyFont="1" applyBorder="1"/>
    <xf numFmtId="0" fontId="16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 wrapText="1"/>
    </xf>
    <xf numFmtId="0" fontId="8" fillId="0" borderId="2" xfId="0" applyFont="1" applyBorder="1"/>
    <xf numFmtId="0" fontId="8" fillId="0" borderId="3" xfId="0" applyFont="1" applyBorder="1"/>
    <xf numFmtId="0" fontId="42" fillId="11" borderId="45" xfId="0" applyFont="1" applyFill="1" applyBorder="1" applyAlignment="1">
      <alignment horizontal="left" vertical="center" wrapText="1"/>
    </xf>
    <xf numFmtId="0" fontId="42" fillId="11" borderId="46" xfId="0" applyFont="1" applyFill="1" applyBorder="1" applyAlignment="1">
      <alignment horizontal="left" vertical="center" wrapText="1"/>
    </xf>
    <xf numFmtId="0" fontId="42" fillId="11" borderId="47" xfId="0" applyFont="1" applyFill="1" applyBorder="1" applyAlignment="1">
      <alignment horizontal="left" vertical="center" wrapText="1"/>
    </xf>
    <xf numFmtId="44" fontId="42" fillId="0" borderId="43" xfId="1" applyFont="1" applyFill="1" applyBorder="1" applyAlignment="1">
      <alignment horizontal="center" vertical="center" wrapText="1"/>
    </xf>
    <xf numFmtId="0" fontId="41" fillId="23" borderId="43" xfId="0" applyFont="1" applyFill="1" applyBorder="1" applyAlignment="1">
      <alignment horizontal="right" vertical="center" wrapText="1"/>
    </xf>
    <xf numFmtId="0" fontId="41" fillId="22" borderId="45" xfId="0" applyFont="1" applyFill="1" applyBorder="1" applyAlignment="1">
      <alignment horizontal="center" vertical="center"/>
    </xf>
    <xf numFmtId="0" fontId="41" fillId="22" borderId="46" xfId="0" applyFont="1" applyFill="1" applyBorder="1" applyAlignment="1">
      <alignment horizontal="center" vertical="center"/>
    </xf>
    <xf numFmtId="0" fontId="41" fillId="22" borderId="47" xfId="0" applyFont="1" applyFill="1" applyBorder="1" applyAlignment="1">
      <alignment horizontal="center" vertical="center"/>
    </xf>
    <xf numFmtId="0" fontId="41" fillId="23" borderId="45" xfId="0" applyFont="1" applyFill="1" applyBorder="1" applyAlignment="1">
      <alignment horizontal="center" vertical="center" wrapText="1"/>
    </xf>
    <xf numFmtId="0" fontId="41" fillId="23" borderId="46" xfId="0" applyFont="1" applyFill="1" applyBorder="1" applyAlignment="1">
      <alignment horizontal="center" vertical="center" wrapText="1"/>
    </xf>
    <xf numFmtId="0" fontId="41" fillId="23" borderId="47" xfId="0" applyFont="1" applyFill="1" applyBorder="1" applyAlignment="1">
      <alignment horizontal="center" vertical="center" wrapText="1"/>
    </xf>
    <xf numFmtId="44" fontId="42" fillId="11" borderId="43" xfId="1" applyFont="1" applyFill="1" applyBorder="1" applyAlignment="1">
      <alignment horizontal="center" vertical="center" wrapText="1"/>
    </xf>
    <xf numFmtId="44" fontId="42" fillId="11" borderId="45" xfId="1" applyFont="1" applyFill="1" applyBorder="1" applyAlignment="1">
      <alignment horizontal="center" vertical="center" wrapText="1"/>
    </xf>
    <xf numFmtId="44" fontId="42" fillId="11" borderId="47" xfId="1" applyFont="1" applyFill="1" applyBorder="1" applyAlignment="1">
      <alignment horizontal="center" vertical="center" wrapText="1"/>
    </xf>
    <xf numFmtId="0" fontId="41" fillId="17" borderId="43" xfId="0" applyFont="1" applyFill="1" applyBorder="1" applyAlignment="1">
      <alignment horizontal="right" vertical="center" wrapText="1"/>
    </xf>
    <xf numFmtId="0" fontId="4" fillId="0" borderId="49" xfId="0" applyFont="1" applyBorder="1" applyAlignment="1">
      <alignment horizontal="center"/>
    </xf>
    <xf numFmtId="0" fontId="0" fillId="0" borderId="11" xfId="0" applyBorder="1" applyAlignment="1">
      <alignment horizontal="center"/>
    </xf>
    <xf numFmtId="0" fontId="41" fillId="8" borderId="45" xfId="0" applyFont="1" applyFill="1" applyBorder="1" applyAlignment="1">
      <alignment horizontal="center" vertical="center"/>
    </xf>
    <xf numFmtId="0" fontId="41" fillId="8" borderId="46" xfId="0" applyFont="1" applyFill="1" applyBorder="1" applyAlignment="1">
      <alignment horizontal="center" vertical="center"/>
    </xf>
    <xf numFmtId="0" fontId="41" fillId="8" borderId="47" xfId="0" applyFont="1" applyFill="1" applyBorder="1" applyAlignment="1">
      <alignment horizontal="center" vertical="center"/>
    </xf>
    <xf numFmtId="0" fontId="41" fillId="21" borderId="43" xfId="0" applyFont="1" applyFill="1" applyBorder="1" applyAlignment="1">
      <alignment horizontal="center" vertical="center" wrapText="1"/>
    </xf>
    <xf numFmtId="0" fontId="12" fillId="5" borderId="45" xfId="0" applyFont="1" applyFill="1" applyBorder="1" applyAlignment="1">
      <alignment horizontal="left" vertical="center" wrapText="1"/>
    </xf>
    <xf numFmtId="0" fontId="12" fillId="5" borderId="46" xfId="0" applyFont="1" applyFill="1" applyBorder="1" applyAlignment="1">
      <alignment horizontal="left" vertical="center" wrapText="1"/>
    </xf>
    <xf numFmtId="0" fontId="12" fillId="5" borderId="47" xfId="0" applyFont="1" applyFill="1" applyBorder="1" applyAlignment="1">
      <alignment horizontal="left" vertical="center" wrapText="1"/>
    </xf>
    <xf numFmtId="0" fontId="12" fillId="3" borderId="45" xfId="0" applyFont="1" applyFill="1" applyBorder="1" applyAlignment="1">
      <alignment horizontal="center" vertical="center" wrapText="1"/>
    </xf>
    <xf numFmtId="0" fontId="12" fillId="3" borderId="46" xfId="0" applyFont="1" applyFill="1" applyBorder="1" applyAlignment="1">
      <alignment horizontal="center" vertical="center" wrapText="1"/>
    </xf>
    <xf numFmtId="0" fontId="12" fillId="3" borderId="47" xfId="0" applyFont="1" applyFill="1" applyBorder="1" applyAlignment="1">
      <alignment horizontal="center" vertical="center" wrapText="1"/>
    </xf>
    <xf numFmtId="0" fontId="7" fillId="2" borderId="43" xfId="0" applyFont="1" applyFill="1" applyBorder="1" applyAlignment="1">
      <alignment horizontal="center" vertical="center" wrapText="1"/>
    </xf>
    <xf numFmtId="0" fontId="8" fillId="0" borderId="43" xfId="0" applyFont="1" applyBorder="1" applyAlignment="1">
      <alignment horizontal="center" wrapText="1"/>
    </xf>
    <xf numFmtId="0" fontId="12" fillId="19" borderId="45" xfId="0" applyFont="1" applyFill="1" applyBorder="1" applyAlignment="1">
      <alignment horizontal="center" vertical="center" wrapText="1"/>
    </xf>
    <xf numFmtId="0" fontId="12" fillId="19" borderId="46" xfId="0" applyFont="1" applyFill="1" applyBorder="1" applyAlignment="1">
      <alignment horizontal="center" vertical="center" wrapText="1"/>
    </xf>
    <xf numFmtId="0" fontId="12" fillId="19" borderId="47" xfId="0" applyFont="1" applyFill="1" applyBorder="1" applyAlignment="1">
      <alignment horizontal="center" vertical="center" wrapText="1"/>
    </xf>
    <xf numFmtId="0" fontId="11" fillId="20" borderId="43" xfId="0" applyFont="1" applyFill="1" applyBorder="1" applyAlignment="1">
      <alignment horizontal="center" vertical="center"/>
    </xf>
    <xf numFmtId="0" fontId="8" fillId="17" borderId="43" xfId="0" applyFont="1" applyFill="1" applyBorder="1" applyAlignment="1">
      <alignment horizontal="center"/>
    </xf>
    <xf numFmtId="0" fontId="13" fillId="19" borderId="45" xfId="0" applyFont="1" applyFill="1" applyBorder="1" applyAlignment="1">
      <alignment horizontal="center" vertical="center" wrapText="1"/>
    </xf>
    <xf numFmtId="0" fontId="13" fillId="19" borderId="46" xfId="0" applyFont="1" applyFill="1" applyBorder="1" applyAlignment="1">
      <alignment horizontal="center" vertical="center" wrapText="1"/>
    </xf>
    <xf numFmtId="0" fontId="13" fillId="19" borderId="47" xfId="0" applyFont="1" applyFill="1" applyBorder="1" applyAlignment="1">
      <alignment horizontal="center" vertical="center" wrapText="1"/>
    </xf>
    <xf numFmtId="0" fontId="7" fillId="2" borderId="45" xfId="0" applyFont="1" applyFill="1" applyBorder="1" applyAlignment="1">
      <alignment horizontal="center" vertical="center" wrapText="1"/>
    </xf>
    <xf numFmtId="0" fontId="7" fillId="2" borderId="46" xfId="0" applyFont="1" applyFill="1" applyBorder="1" applyAlignment="1">
      <alignment horizontal="center" vertical="center" wrapText="1"/>
    </xf>
    <xf numFmtId="0" fontId="7" fillId="2" borderId="47" xfId="0" applyFont="1" applyFill="1" applyBorder="1" applyAlignment="1">
      <alignment horizontal="center" vertical="center" wrapText="1"/>
    </xf>
    <xf numFmtId="0" fontId="13" fillId="19" borderId="43" xfId="0" applyFont="1" applyFill="1" applyBorder="1" applyAlignment="1">
      <alignment horizontal="center" vertical="center" wrapText="1"/>
    </xf>
    <xf numFmtId="0" fontId="6" fillId="0" borderId="49" xfId="0" applyFont="1" applyBorder="1" applyAlignment="1">
      <alignment horizontal="center"/>
    </xf>
    <xf numFmtId="0" fontId="31" fillId="8" borderId="60" xfId="0" applyFont="1" applyFill="1" applyBorder="1" applyAlignment="1">
      <alignment horizontal="center" vertical="center"/>
    </xf>
    <xf numFmtId="0" fontId="31" fillId="8" borderId="61" xfId="0" applyFont="1" applyFill="1" applyBorder="1" applyAlignment="1">
      <alignment horizontal="center" vertical="center"/>
    </xf>
    <xf numFmtId="0" fontId="15" fillId="18" borderId="43" xfId="0" applyFont="1" applyFill="1" applyBorder="1" applyAlignment="1">
      <alignment horizontal="center" vertical="center" wrapText="1"/>
    </xf>
    <xf numFmtId="0" fontId="36" fillId="8" borderId="43" xfId="0" applyFont="1" applyFill="1" applyBorder="1" applyAlignment="1">
      <alignment horizontal="center"/>
    </xf>
    <xf numFmtId="0" fontId="23" fillId="5" borderId="43" xfId="0" applyFont="1" applyFill="1" applyBorder="1" applyAlignment="1">
      <alignment horizontal="center" vertical="center" wrapText="1"/>
    </xf>
    <xf numFmtId="0" fontId="12" fillId="5" borderId="43" xfId="0" applyFont="1" applyFill="1" applyBorder="1" applyAlignment="1">
      <alignment horizontal="center" vertical="center" wrapText="1"/>
    </xf>
    <xf numFmtId="2" fontId="23" fillId="0" borderId="57" xfId="0" applyNumberFormat="1" applyFont="1" applyBorder="1" applyAlignment="1">
      <alignment horizontal="center" vertical="center"/>
    </xf>
    <xf numFmtId="2" fontId="23" fillId="0" borderId="58" xfId="0" applyNumberFormat="1" applyFont="1" applyBorder="1" applyAlignment="1">
      <alignment horizontal="center" vertical="center"/>
    </xf>
    <xf numFmtId="2" fontId="23" fillId="0" borderId="59" xfId="0" applyNumberFormat="1" applyFont="1" applyBorder="1" applyAlignment="1">
      <alignment horizontal="center" vertical="center"/>
    </xf>
    <xf numFmtId="0" fontId="33" fillId="16" borderId="43" xfId="0" applyFont="1" applyFill="1" applyBorder="1" applyAlignment="1">
      <alignment horizontal="center" vertical="center"/>
    </xf>
    <xf numFmtId="2" fontId="12" fillId="0" borderId="57" xfId="0" applyNumberFormat="1" applyFont="1" applyBorder="1" applyAlignment="1">
      <alignment horizontal="center" vertical="center"/>
    </xf>
    <xf numFmtId="0" fontId="15" fillId="18" borderId="45" xfId="0" applyFont="1" applyFill="1" applyBorder="1" applyAlignment="1">
      <alignment horizontal="center" vertical="center" wrapText="1"/>
    </xf>
    <xf numFmtId="0" fontId="15" fillId="18" borderId="46" xfId="0" applyFont="1" applyFill="1" applyBorder="1" applyAlignment="1">
      <alignment horizontal="center" vertical="center" wrapText="1"/>
    </xf>
    <xf numFmtId="0" fontId="15" fillId="18" borderId="47" xfId="0" applyFont="1" applyFill="1" applyBorder="1" applyAlignment="1">
      <alignment horizontal="center" vertical="center" wrapText="1"/>
    </xf>
    <xf numFmtId="0" fontId="12" fillId="18" borderId="45" xfId="0" applyFont="1" applyFill="1" applyBorder="1" applyAlignment="1">
      <alignment horizontal="center" vertical="center" wrapText="1"/>
    </xf>
    <xf numFmtId="0" fontId="12" fillId="18" borderId="46" xfId="0" applyFont="1" applyFill="1" applyBorder="1" applyAlignment="1">
      <alignment horizontal="center" vertical="center" wrapText="1"/>
    </xf>
    <xf numFmtId="0" fontId="12" fillId="18" borderId="47" xfId="0" applyFont="1" applyFill="1" applyBorder="1" applyAlignment="1">
      <alignment horizontal="center" vertical="center" wrapText="1"/>
    </xf>
    <xf numFmtId="0" fontId="13" fillId="2" borderId="45" xfId="0" applyFont="1" applyFill="1" applyBorder="1" applyAlignment="1">
      <alignment horizontal="center" vertical="center" wrapText="1"/>
    </xf>
    <xf numFmtId="0" fontId="13" fillId="2" borderId="46" xfId="0" applyFont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 vertical="center" wrapText="1"/>
    </xf>
    <xf numFmtId="0" fontId="42" fillId="0" borderId="45" xfId="0" applyFont="1" applyBorder="1" applyAlignment="1">
      <alignment horizontal="left" vertical="center" wrapText="1"/>
    </xf>
    <xf numFmtId="0" fontId="42" fillId="0" borderId="46" xfId="0" applyFont="1" applyBorder="1" applyAlignment="1">
      <alignment horizontal="left" vertical="center" wrapText="1"/>
    </xf>
    <xf numFmtId="0" fontId="42" fillId="0" borderId="47" xfId="0" applyFont="1" applyBorder="1" applyAlignment="1">
      <alignment horizontal="left" vertical="center" wrapText="1"/>
    </xf>
    <xf numFmtId="44" fontId="42" fillId="0" borderId="45" xfId="1" applyFont="1" applyFill="1" applyBorder="1" applyAlignment="1">
      <alignment horizontal="center" vertical="center" wrapText="1"/>
    </xf>
    <xf numFmtId="44" fontId="42" fillId="0" borderId="47" xfId="1" applyFont="1" applyFill="1" applyBorder="1" applyAlignment="1">
      <alignment horizontal="center" vertical="center" wrapText="1"/>
    </xf>
    <xf numFmtId="0" fontId="52" fillId="0" borderId="43" xfId="0" applyFont="1" applyBorder="1" applyAlignment="1">
      <alignment horizontal="left" vertical="center" wrapText="1"/>
    </xf>
    <xf numFmtId="0" fontId="43" fillId="0" borderId="43" xfId="0" applyFont="1" applyBorder="1" applyAlignment="1">
      <alignment horizontal="center" vertical="center" wrapText="1"/>
    </xf>
    <xf numFmtId="166" fontId="43" fillId="0" borderId="45" xfId="0" applyNumberFormat="1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0" fontId="43" fillId="28" borderId="45" xfId="0" applyFont="1" applyFill="1" applyBorder="1" applyAlignment="1">
      <alignment horizontal="center" vertical="center" wrapText="1"/>
    </xf>
    <xf numFmtId="0" fontId="43" fillId="28" borderId="46" xfId="0" applyFont="1" applyFill="1" applyBorder="1" applyAlignment="1">
      <alignment horizontal="center" vertical="center" wrapText="1"/>
    </xf>
    <xf numFmtId="0" fontId="43" fillId="28" borderId="47" xfId="0" applyFont="1" applyFill="1" applyBorder="1" applyAlignment="1">
      <alignment horizontal="center" vertical="center" wrapText="1"/>
    </xf>
    <xf numFmtId="166" fontId="43" fillId="28" borderId="45" xfId="0" applyNumberFormat="1" applyFont="1" applyFill="1" applyBorder="1" applyAlignment="1">
      <alignment horizontal="center" vertical="center" wrapText="1"/>
    </xf>
    <xf numFmtId="166" fontId="43" fillId="28" borderId="47" xfId="0" applyNumberFormat="1" applyFont="1" applyFill="1" applyBorder="1" applyAlignment="1">
      <alignment horizontal="center" vertical="center" wrapText="1"/>
    </xf>
    <xf numFmtId="166" fontId="43" fillId="0" borderId="47" xfId="0" applyNumberFormat="1" applyFont="1" applyBorder="1" applyAlignment="1">
      <alignment horizontal="center" vertical="center" wrapText="1"/>
    </xf>
    <xf numFmtId="0" fontId="43" fillId="0" borderId="45" xfId="0" applyFont="1" applyBorder="1" applyAlignment="1">
      <alignment horizontal="center" vertical="center" wrapText="1"/>
    </xf>
    <xf numFmtId="0" fontId="43" fillId="0" borderId="46" xfId="0" applyFont="1" applyBorder="1" applyAlignment="1">
      <alignment horizontal="center" vertical="center" wrapText="1"/>
    </xf>
    <xf numFmtId="0" fontId="43" fillId="26" borderId="43" xfId="0" applyFont="1" applyFill="1" applyBorder="1" applyAlignment="1">
      <alignment horizontal="center" vertical="center" wrapText="1"/>
    </xf>
    <xf numFmtId="0" fontId="43" fillId="27" borderId="43" xfId="0" applyFont="1" applyFill="1" applyBorder="1" applyAlignment="1">
      <alignment horizontal="center" vertical="center" wrapText="1"/>
    </xf>
    <xf numFmtId="166" fontId="43" fillId="27" borderId="43" xfId="1" applyNumberFormat="1" applyFont="1" applyFill="1" applyBorder="1" applyAlignment="1">
      <alignment horizontal="center" vertical="center" wrapText="1"/>
    </xf>
    <xf numFmtId="0" fontId="43" fillId="27" borderId="45" xfId="0" applyFont="1" applyFill="1" applyBorder="1" applyAlignment="1">
      <alignment horizontal="right" vertical="center" wrapText="1"/>
    </xf>
    <xf numFmtId="0" fontId="43" fillId="27" borderId="46" xfId="0" applyFont="1" applyFill="1" applyBorder="1" applyAlignment="1">
      <alignment horizontal="right" vertical="center" wrapText="1"/>
    </xf>
    <xf numFmtId="0" fontId="43" fillId="27" borderId="47" xfId="0" applyFont="1" applyFill="1" applyBorder="1" applyAlignment="1">
      <alignment horizontal="right" vertical="center" wrapText="1"/>
    </xf>
    <xf numFmtId="8" fontId="43" fillId="27" borderId="45" xfId="0" applyNumberFormat="1" applyFont="1" applyFill="1" applyBorder="1" applyAlignment="1">
      <alignment horizontal="center" vertical="center" wrapText="1"/>
    </xf>
    <xf numFmtId="8" fontId="43" fillId="27" borderId="47" xfId="0" applyNumberFormat="1" applyFont="1" applyFill="1" applyBorder="1" applyAlignment="1">
      <alignment horizontal="center" vertical="center" wrapText="1"/>
    </xf>
    <xf numFmtId="166" fontId="43" fillId="27" borderId="45" xfId="0" applyNumberFormat="1" applyFont="1" applyFill="1" applyBorder="1" applyAlignment="1">
      <alignment horizontal="center" vertical="center" wrapText="1"/>
    </xf>
    <xf numFmtId="0" fontId="43" fillId="27" borderId="47" xfId="0" applyFont="1" applyFill="1" applyBorder="1" applyAlignment="1">
      <alignment horizontal="center" vertical="center" wrapText="1"/>
    </xf>
    <xf numFmtId="0" fontId="0" fillId="0" borderId="0" xfId="0"/>
    <xf numFmtId="0" fontId="10" fillId="25" borderId="43" xfId="0" applyFont="1" applyFill="1" applyBorder="1" applyAlignment="1">
      <alignment horizontal="center" vertical="center" wrapText="1"/>
    </xf>
    <xf numFmtId="0" fontId="43" fillId="25" borderId="43" xfId="0" applyFont="1" applyFill="1" applyBorder="1" applyAlignment="1">
      <alignment horizontal="center" vertical="center" wrapText="1"/>
    </xf>
  </cellXfs>
  <cellStyles count="6">
    <cellStyle name="Moeda" xfId="1" builtinId="4"/>
    <cellStyle name="Moeda 2" xfId="4" xr:uid="{A4F69D2B-9710-4D73-9BFF-447ECF4F2ED2}"/>
    <cellStyle name="Normal" xfId="0" builtinId="0"/>
    <cellStyle name="Normal 2" xfId="3" xr:uid="{CDF7990B-9443-4A50-B97F-86D0382112E5}"/>
    <cellStyle name="Porcentagem 2" xfId="5" xr:uid="{65FB1980-D2A8-4185-9467-D0E8133EA129}"/>
    <cellStyle name="Vírgula" xfId="2" builtinId="3"/>
  </cellStyles>
  <dxfs count="3">
    <dxf>
      <fill>
        <patternFill patternType="solid">
          <fgColor rgb="FFDEEAF6"/>
          <bgColor rgb="FFDEEAF6"/>
        </patternFill>
      </fill>
    </dxf>
    <dxf>
      <fill>
        <patternFill patternType="solid">
          <fgColor rgb="FFFEF2CB"/>
          <bgColor rgb="FFFEF2CB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Plan3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21" Type="http://customschemas.google.com/relationships/workbookmetadata" Target="metadata"/><Relationship Id="rId7" Type="http://schemas.openxmlformats.org/officeDocument/2006/relationships/worksheet" Target="worksheets/sheet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23" Type="http://schemas.openxmlformats.org/officeDocument/2006/relationships/styles" Target="styles.xml"/><Relationship Id="rId4" Type="http://schemas.openxmlformats.org/officeDocument/2006/relationships/worksheet" Target="worksheets/sheet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../AppData/Local/Temp/17%20Instrucao%20Normativa%2002_2008%20Servicos%20Continuados/0%20LEGISLACAO%20GERAL/IN%2003_2005%20MSP_SRP/AnexoII_IN03.rtf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1"/>
  <sheetViews>
    <sheetView view="pageBreakPreview" zoomScaleNormal="100" zoomScaleSheetLayoutView="100" workbookViewId="0">
      <selection activeCell="D22" sqref="D22"/>
    </sheetView>
  </sheetViews>
  <sheetFormatPr defaultColWidth="14.42578125" defaultRowHeight="15" customHeight="1" x14ac:dyDescent="0.25"/>
  <cols>
    <col min="1" max="1" width="6.5703125" customWidth="1"/>
    <col min="2" max="2" width="50.42578125" customWidth="1"/>
    <col min="3" max="3" width="53" customWidth="1"/>
    <col min="4" max="4" width="16.140625" customWidth="1"/>
    <col min="5" max="7" width="22.28515625" customWidth="1"/>
    <col min="8" max="8" width="21.28515625" customWidth="1"/>
    <col min="9" max="9" width="22.140625" customWidth="1"/>
    <col min="10" max="10" width="9.140625" hidden="1" customWidth="1"/>
    <col min="11" max="14" width="9.85546875" hidden="1" customWidth="1"/>
    <col min="15" max="15" width="9.140625" hidden="1" customWidth="1"/>
    <col min="16" max="16" width="10.140625" hidden="1" customWidth="1"/>
    <col min="17" max="17" width="15.5703125" customWidth="1"/>
    <col min="18" max="18" width="13" customWidth="1"/>
    <col min="19" max="28" width="9.140625" customWidth="1"/>
  </cols>
  <sheetData>
    <row r="1" spans="1:18" ht="15.75" customHeight="1" x14ac:dyDescent="0.25">
      <c r="A1" s="217" t="s">
        <v>356</v>
      </c>
      <c r="B1" s="217"/>
      <c r="C1" s="217"/>
      <c r="D1" s="217"/>
      <c r="E1" s="217"/>
      <c r="F1" s="217"/>
      <c r="G1" s="217"/>
      <c r="H1" s="217"/>
      <c r="I1" s="217"/>
      <c r="J1" s="2"/>
      <c r="K1" s="3"/>
      <c r="L1" s="4"/>
      <c r="M1" s="4"/>
      <c r="N1" s="4"/>
    </row>
    <row r="2" spans="1:18" ht="15.75" customHeight="1" x14ac:dyDescent="0.25">
      <c r="A2" s="217"/>
      <c r="B2" s="217"/>
      <c r="C2" s="217"/>
      <c r="D2" s="217"/>
      <c r="E2" s="217"/>
      <c r="F2" s="217"/>
      <c r="G2" s="217"/>
      <c r="H2" s="217"/>
      <c r="I2" s="217"/>
      <c r="J2" s="2"/>
      <c r="K2" s="3"/>
      <c r="L2" s="4"/>
      <c r="M2" s="4"/>
      <c r="N2" s="4"/>
    </row>
    <row r="3" spans="1:18" ht="15.75" customHeight="1" x14ac:dyDescent="0.25">
      <c r="A3" s="216" t="s">
        <v>376</v>
      </c>
      <c r="B3" s="216"/>
      <c r="C3" s="216"/>
      <c r="D3" s="216"/>
      <c r="E3" s="216"/>
      <c r="F3" s="216"/>
      <c r="G3" s="216"/>
      <c r="H3" s="216"/>
      <c r="I3" s="216"/>
      <c r="J3" s="2"/>
      <c r="K3" s="3"/>
      <c r="L3" s="4"/>
      <c r="M3" s="4"/>
      <c r="N3" s="4"/>
    </row>
    <row r="4" spans="1:18" ht="15.75" customHeight="1" x14ac:dyDescent="0.25">
      <c r="A4" s="216"/>
      <c r="B4" s="216"/>
      <c r="C4" s="216"/>
      <c r="D4" s="216"/>
      <c r="E4" s="216"/>
      <c r="F4" s="216"/>
      <c r="G4" s="216"/>
      <c r="H4" s="216"/>
      <c r="I4" s="216"/>
      <c r="J4" s="2"/>
      <c r="K4" s="3"/>
      <c r="L4" s="4"/>
      <c r="M4" s="4"/>
      <c r="N4" s="4"/>
    </row>
    <row r="5" spans="1:18" ht="47.25" x14ac:dyDescent="0.25">
      <c r="A5" s="186" t="s">
        <v>0</v>
      </c>
      <c r="B5" s="187" t="s">
        <v>1</v>
      </c>
      <c r="C5" s="187" t="s">
        <v>2</v>
      </c>
      <c r="D5" s="187" t="s">
        <v>347</v>
      </c>
      <c r="E5" s="188" t="s">
        <v>208</v>
      </c>
      <c r="F5" s="189" t="s">
        <v>362</v>
      </c>
      <c r="G5" s="189" t="s">
        <v>361</v>
      </c>
      <c r="H5" s="189" t="s">
        <v>5</v>
      </c>
      <c r="I5" s="190" t="s">
        <v>6</v>
      </c>
      <c r="J5" s="2"/>
      <c r="K5" s="3"/>
      <c r="L5" s="4"/>
      <c r="M5" s="4"/>
      <c r="N5" s="4" t="s">
        <v>4</v>
      </c>
    </row>
    <row r="6" spans="1:18" ht="14.1" customHeight="1" x14ac:dyDescent="0.25">
      <c r="A6" s="198" t="s">
        <v>189</v>
      </c>
      <c r="B6" s="178" t="s">
        <v>142</v>
      </c>
      <c r="C6" s="84" t="s">
        <v>156</v>
      </c>
      <c r="D6" s="85">
        <f>METRAGEM!I283</f>
        <v>6</v>
      </c>
      <c r="E6" s="174">
        <f>SUM(METRAGEM!D283:E283)</f>
        <v>2.460087919072083</v>
      </c>
      <c r="F6" s="175">
        <f>SUM(METRAGEM!F283)</f>
        <v>9440.5</v>
      </c>
      <c r="G6" s="175">
        <f>F6/D6</f>
        <v>1573.4166666666667</v>
      </c>
      <c r="H6" s="86">
        <f>ROUND(F6*E6,2)</f>
        <v>23224.46</v>
      </c>
      <c r="I6" s="87">
        <f>ROUND(H6*12,2)</f>
        <v>278693.52</v>
      </c>
      <c r="J6" s="2"/>
      <c r="K6" s="3"/>
      <c r="L6" s="4"/>
      <c r="M6" s="4"/>
      <c r="N6" s="4"/>
      <c r="Q6" s="179"/>
      <c r="R6" s="179"/>
    </row>
    <row r="7" spans="1:18" ht="14.1" customHeight="1" x14ac:dyDescent="0.25">
      <c r="A7" s="198" t="s">
        <v>189</v>
      </c>
      <c r="B7" s="178" t="s">
        <v>143</v>
      </c>
      <c r="C7" s="84" t="s">
        <v>156</v>
      </c>
      <c r="D7" s="85">
        <v>1</v>
      </c>
      <c r="E7" s="174">
        <f>METRAGEM!D284</f>
        <v>112.93018687210964</v>
      </c>
      <c r="F7" s="175">
        <f>SUM(METRAGEM!F284)</f>
        <v>65</v>
      </c>
      <c r="G7" s="175">
        <f>F7/D7</f>
        <v>65</v>
      </c>
      <c r="H7" s="86">
        <f t="shared" ref="H7:H10" si="0">ROUND(F7*E7,2)</f>
        <v>7340.46</v>
      </c>
      <c r="I7" s="87">
        <f t="shared" ref="I7:I10" si="1">ROUND(H7*12,2)</f>
        <v>88085.52</v>
      </c>
      <c r="J7" s="2"/>
      <c r="K7" s="3"/>
      <c r="L7" s="4"/>
      <c r="M7" s="4"/>
      <c r="N7" s="4"/>
      <c r="R7" s="179"/>
    </row>
    <row r="8" spans="1:18" ht="14.1" customHeight="1" x14ac:dyDescent="0.25">
      <c r="A8" s="198" t="s">
        <v>190</v>
      </c>
      <c r="B8" s="178" t="s">
        <v>143</v>
      </c>
      <c r="C8" s="208" t="s">
        <v>368</v>
      </c>
      <c r="D8" s="85">
        <f>METRAGEM!I285</f>
        <v>1</v>
      </c>
      <c r="E8" s="174">
        <f>SUM(METRAGEM!D285:E285)</f>
        <v>32.722615872726323</v>
      </c>
      <c r="F8" s="175">
        <f>SUM(METRAGEM!F285)</f>
        <v>226.98999999999998</v>
      </c>
      <c r="G8" s="175">
        <f t="shared" ref="G8:G10" si="2">F8/D8</f>
        <v>226.98999999999998</v>
      </c>
      <c r="H8" s="86">
        <f t="shared" si="0"/>
        <v>7427.71</v>
      </c>
      <c r="I8" s="87">
        <f t="shared" si="1"/>
        <v>89132.52</v>
      </c>
      <c r="J8" s="2"/>
      <c r="K8" s="3"/>
      <c r="L8" s="4"/>
      <c r="M8" s="4"/>
      <c r="N8" s="4"/>
    </row>
    <row r="9" spans="1:18" ht="14.1" customHeight="1" x14ac:dyDescent="0.25">
      <c r="A9" s="198" t="s">
        <v>191</v>
      </c>
      <c r="B9" s="178" t="s">
        <v>143</v>
      </c>
      <c r="C9" s="84" t="s">
        <v>157</v>
      </c>
      <c r="D9" s="85">
        <f>METRAGEM!I286</f>
        <v>1</v>
      </c>
      <c r="E9" s="174">
        <f>SUM(METRAGEM!D286:E286)</f>
        <v>13.444183428410534</v>
      </c>
      <c r="F9" s="175">
        <f>SUM(METRAGEM!F286)</f>
        <v>557.04</v>
      </c>
      <c r="G9" s="175">
        <f t="shared" si="2"/>
        <v>557.04</v>
      </c>
      <c r="H9" s="86">
        <f t="shared" si="0"/>
        <v>7488.95</v>
      </c>
      <c r="I9" s="87">
        <f t="shared" si="1"/>
        <v>89867.4</v>
      </c>
      <c r="J9" s="2"/>
      <c r="K9" s="3"/>
      <c r="L9" s="4"/>
      <c r="M9" s="4"/>
      <c r="N9" s="4"/>
    </row>
    <row r="10" spans="1:18" ht="14.1" customHeight="1" x14ac:dyDescent="0.25">
      <c r="A10" s="198" t="s">
        <v>194</v>
      </c>
      <c r="B10" s="178" t="s">
        <v>143</v>
      </c>
      <c r="C10" s="84" t="s">
        <v>158</v>
      </c>
      <c r="D10" s="176">
        <f>METRAGEM!I287</f>
        <v>1</v>
      </c>
      <c r="E10" s="174">
        <f>SUM(METRAGEM!D287:E287)</f>
        <v>7.4623074991896958</v>
      </c>
      <c r="F10" s="211">
        <f>SUM(METRAGEM!F287)</f>
        <v>1003.5700000000002</v>
      </c>
      <c r="G10" s="175">
        <f t="shared" si="2"/>
        <v>1003.5700000000002</v>
      </c>
      <c r="H10" s="86">
        <f t="shared" si="0"/>
        <v>7488.95</v>
      </c>
      <c r="I10" s="87">
        <f t="shared" si="1"/>
        <v>89867.4</v>
      </c>
      <c r="J10" s="2"/>
      <c r="K10" s="3"/>
      <c r="L10" s="4"/>
      <c r="M10" s="4"/>
      <c r="N10" s="4"/>
    </row>
    <row r="11" spans="1:18" ht="15.75" customHeight="1" x14ac:dyDescent="0.25">
      <c r="A11" s="214" t="s">
        <v>146</v>
      </c>
      <c r="B11" s="215"/>
      <c r="C11" s="215"/>
      <c r="D11" s="177">
        <f>SUM(D6:D10)</f>
        <v>10</v>
      </c>
      <c r="E11" s="173"/>
      <c r="F11" s="212">
        <f>SUM(F6:F10)</f>
        <v>11293.099999999999</v>
      </c>
      <c r="G11" s="210"/>
      <c r="H11" s="88">
        <f>SUM(H6:H10)</f>
        <v>52970.529999999992</v>
      </c>
      <c r="I11" s="89">
        <f>SUM(I6:I10)</f>
        <v>635646.3600000001</v>
      </c>
      <c r="J11" s="2"/>
      <c r="K11" s="3"/>
      <c r="L11" s="4"/>
      <c r="M11" s="4"/>
      <c r="N11" s="4"/>
    </row>
  </sheetData>
  <mergeCells count="3">
    <mergeCell ref="A11:C11"/>
    <mergeCell ref="A3:I4"/>
    <mergeCell ref="A1:I2"/>
  </mergeCells>
  <pageMargins left="0.511811024" right="0.511811024" top="0.78740157499999996" bottom="0.78740157499999996" header="0.31496062000000002" footer="0.31496062000000002"/>
  <pageSetup paperSize="9" scale="3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A8BA-9B41-49C2-9E9E-A0E3894CFFE2}">
  <sheetPr>
    <pageSetUpPr fitToPage="1"/>
  </sheetPr>
  <dimension ref="B1:C24"/>
  <sheetViews>
    <sheetView showGridLines="0" tabSelected="1" view="pageBreakPreview" zoomScale="85" zoomScaleNormal="100" zoomScaleSheetLayoutView="85" workbookViewId="0">
      <selection activeCell="I17" sqref="I17"/>
    </sheetView>
  </sheetViews>
  <sheetFormatPr defaultRowHeight="15" x14ac:dyDescent="0.25"/>
  <cols>
    <col min="2" max="2" width="47.7109375" style="98" customWidth="1"/>
    <col min="3" max="3" width="47.28515625" style="98" customWidth="1"/>
  </cols>
  <sheetData>
    <row r="1" spans="2:3" x14ac:dyDescent="0.25">
      <c r="B1" s="218" t="s">
        <v>367</v>
      </c>
      <c r="C1" s="219"/>
    </row>
    <row r="2" spans="2:3" x14ac:dyDescent="0.25">
      <c r="B2" s="219"/>
      <c r="C2" s="220"/>
    </row>
    <row r="3" spans="2:3" x14ac:dyDescent="0.25">
      <c r="B3" s="219"/>
      <c r="C3" s="220"/>
    </row>
    <row r="4" spans="2:3" x14ac:dyDescent="0.25">
      <c r="B4" s="219"/>
      <c r="C4" s="219"/>
    </row>
    <row r="5" spans="2:3" ht="15.75" x14ac:dyDescent="0.25">
      <c r="B5" s="99" t="s">
        <v>0</v>
      </c>
      <c r="C5" s="99" t="s">
        <v>1</v>
      </c>
    </row>
    <row r="6" spans="2:3" x14ac:dyDescent="0.25">
      <c r="B6" s="100" t="s">
        <v>161</v>
      </c>
      <c r="C6" s="96" t="s">
        <v>177</v>
      </c>
    </row>
    <row r="7" spans="2:3" x14ac:dyDescent="0.25">
      <c r="B7" s="100" t="s">
        <v>162</v>
      </c>
      <c r="C7" s="96"/>
    </row>
    <row r="8" spans="2:3" x14ac:dyDescent="0.25">
      <c r="B8" s="100" t="s">
        <v>163</v>
      </c>
      <c r="C8" s="96"/>
    </row>
    <row r="9" spans="2:3" x14ac:dyDescent="0.25">
      <c r="B9" s="100" t="s">
        <v>164</v>
      </c>
      <c r="C9" s="96"/>
    </row>
    <row r="10" spans="2:3" x14ac:dyDescent="0.25">
      <c r="B10" s="101" t="s">
        <v>165</v>
      </c>
      <c r="C10" s="97"/>
    </row>
    <row r="11" spans="2:3" x14ac:dyDescent="0.25">
      <c r="B11" s="101" t="s">
        <v>192</v>
      </c>
      <c r="C11" s="97" t="s">
        <v>193</v>
      </c>
    </row>
    <row r="12" spans="2:3" x14ac:dyDescent="0.25">
      <c r="B12" s="101" t="s">
        <v>166</v>
      </c>
      <c r="C12" s="97">
        <v>12</v>
      </c>
    </row>
    <row r="13" spans="2:3" ht="30" x14ac:dyDescent="0.25">
      <c r="B13" s="102" t="s">
        <v>167</v>
      </c>
      <c r="C13" s="97" t="s">
        <v>178</v>
      </c>
    </row>
    <row r="14" spans="2:3" x14ac:dyDescent="0.25">
      <c r="B14" s="102" t="s">
        <v>174</v>
      </c>
      <c r="C14" s="205" t="s">
        <v>363</v>
      </c>
    </row>
    <row r="15" spans="2:3" x14ac:dyDescent="0.25">
      <c r="B15" s="101" t="s">
        <v>168</v>
      </c>
      <c r="C15" s="205" t="s">
        <v>364</v>
      </c>
    </row>
    <row r="17" spans="2:3" ht="15.75" x14ac:dyDescent="0.25">
      <c r="B17" s="223" t="s">
        <v>169</v>
      </c>
      <c r="C17" s="223"/>
    </row>
    <row r="18" spans="2:3" x14ac:dyDescent="0.25">
      <c r="B18" s="101" t="s">
        <v>173</v>
      </c>
      <c r="C18" s="103">
        <v>1518</v>
      </c>
    </row>
    <row r="19" spans="2:3" x14ac:dyDescent="0.25">
      <c r="B19" s="101" t="s">
        <v>170</v>
      </c>
      <c r="C19" s="103">
        <v>1743.48</v>
      </c>
    </row>
    <row r="20" spans="2:3" x14ac:dyDescent="0.25">
      <c r="B20" s="101" t="s">
        <v>171</v>
      </c>
      <c r="C20" s="103">
        <v>626.94000000000005</v>
      </c>
    </row>
    <row r="21" spans="2:3" x14ac:dyDescent="0.25">
      <c r="B21" s="101" t="s">
        <v>175</v>
      </c>
      <c r="C21" s="103">
        <v>3</v>
      </c>
    </row>
    <row r="22" spans="2:3" x14ac:dyDescent="0.25">
      <c r="B22" s="101" t="s">
        <v>176</v>
      </c>
      <c r="C22" s="103">
        <v>139.72</v>
      </c>
    </row>
    <row r="23" spans="2:3" x14ac:dyDescent="0.25">
      <c r="B23" s="101" t="s">
        <v>172</v>
      </c>
      <c r="C23" s="103">
        <v>37425.03</v>
      </c>
    </row>
    <row r="24" spans="2:3" ht="15.75" x14ac:dyDescent="0.25">
      <c r="B24" s="221" t="s">
        <v>146</v>
      </c>
      <c r="C24" s="222"/>
    </row>
  </sheetData>
  <mergeCells count="3">
    <mergeCell ref="B1:C4"/>
    <mergeCell ref="B24:C24"/>
    <mergeCell ref="B17:C17"/>
  </mergeCells>
  <pageMargins left="0.511811024" right="0.511811024" top="0.78740157499999996" bottom="0.78740157499999996" header="0.31496062000000002" footer="0.31496062000000002"/>
  <pageSetup paperSize="9" scale="88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116"/>
  <sheetViews>
    <sheetView showGridLines="0" view="pageBreakPreview" topLeftCell="A88" zoomScaleNormal="100" zoomScaleSheetLayoutView="100" workbookViewId="0">
      <selection activeCell="E41" sqref="E41"/>
    </sheetView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1.85546875" customWidth="1"/>
    <col min="5" max="5" width="22.140625" customWidth="1"/>
    <col min="6" max="10" width="8.7109375" customWidth="1"/>
    <col min="11" max="11" width="11.140625" customWidth="1"/>
    <col min="12" max="26" width="8.7109375" customWidth="1"/>
  </cols>
  <sheetData>
    <row r="1" spans="1:6" x14ac:dyDescent="0.25">
      <c r="A1" s="279" t="s">
        <v>366</v>
      </c>
      <c r="B1" s="280"/>
      <c r="C1" s="280"/>
      <c r="D1" s="280"/>
      <c r="E1" s="281"/>
    </row>
    <row r="2" spans="1:6" x14ac:dyDescent="0.25">
      <c r="A2" s="282" t="s">
        <v>143</v>
      </c>
      <c r="B2" s="283"/>
      <c r="C2" s="283"/>
      <c r="D2" s="283"/>
      <c r="E2" s="284"/>
    </row>
    <row r="3" spans="1:6" x14ac:dyDescent="0.25">
      <c r="A3" s="16" t="s">
        <v>29</v>
      </c>
      <c r="B3" s="22" t="s">
        <v>30</v>
      </c>
      <c r="C3" s="285"/>
      <c r="D3" s="237"/>
      <c r="E3" s="238"/>
    </row>
    <row r="4" spans="1:6" x14ac:dyDescent="0.25">
      <c r="A4" s="16" t="s">
        <v>31</v>
      </c>
      <c r="B4" s="22" t="s">
        <v>1</v>
      </c>
      <c r="C4" s="286" t="s">
        <v>32</v>
      </c>
      <c r="D4" s="237"/>
      <c r="E4" s="238"/>
      <c r="F4" s="17"/>
    </row>
    <row r="5" spans="1:6" ht="25.5" x14ac:dyDescent="0.25">
      <c r="A5" s="16" t="s">
        <v>33</v>
      </c>
      <c r="B5" s="22" t="s">
        <v>34</v>
      </c>
      <c r="C5" s="286" t="str">
        <f>DADOS!C15</f>
        <v>RO000003/2025</v>
      </c>
      <c r="D5" s="237"/>
      <c r="E5" s="238"/>
    </row>
    <row r="6" spans="1:6" x14ac:dyDescent="0.25">
      <c r="A6" s="16" t="s">
        <v>35</v>
      </c>
      <c r="B6" s="22" t="s">
        <v>36</v>
      </c>
      <c r="C6" s="286">
        <v>12</v>
      </c>
      <c r="D6" s="237"/>
      <c r="E6" s="238"/>
    </row>
    <row r="7" spans="1:6" x14ac:dyDescent="0.25">
      <c r="A7" s="287" t="s">
        <v>37</v>
      </c>
      <c r="B7" s="237"/>
      <c r="C7" s="237"/>
      <c r="D7" s="237"/>
      <c r="E7" s="238"/>
      <c r="F7" s="18"/>
    </row>
    <row r="8" spans="1:6" x14ac:dyDescent="0.25">
      <c r="A8" s="290" t="s">
        <v>38</v>
      </c>
      <c r="B8" s="291"/>
      <c r="C8" s="291"/>
      <c r="D8" s="291"/>
      <c r="E8" s="292"/>
      <c r="F8" s="19"/>
    </row>
    <row r="9" spans="1:6" x14ac:dyDescent="0.25">
      <c r="A9" s="263" t="s">
        <v>39</v>
      </c>
      <c r="B9" s="293"/>
      <c r="C9" s="293"/>
      <c r="D9" s="293"/>
      <c r="E9" s="294"/>
      <c r="F9" s="18"/>
    </row>
    <row r="10" spans="1:6" x14ac:dyDescent="0.25">
      <c r="A10" s="295" t="s">
        <v>40</v>
      </c>
      <c r="B10" s="237"/>
      <c r="C10" s="237"/>
      <c r="D10" s="243"/>
      <c r="E10" s="20" t="s">
        <v>41</v>
      </c>
      <c r="F10" s="19"/>
    </row>
    <row r="11" spans="1:6" ht="27.75" customHeight="1" x14ac:dyDescent="0.25">
      <c r="A11" s="16">
        <v>1</v>
      </c>
      <c r="B11" s="21" t="s">
        <v>42</v>
      </c>
      <c r="C11" s="296" t="s">
        <v>43</v>
      </c>
      <c r="D11" s="237"/>
      <c r="E11" s="238"/>
      <c r="F11" s="19"/>
    </row>
    <row r="12" spans="1:6" x14ac:dyDescent="0.25">
      <c r="A12" s="16">
        <v>2</v>
      </c>
      <c r="B12" s="22" t="s">
        <v>44</v>
      </c>
      <c r="C12" s="23"/>
      <c r="D12" s="24"/>
      <c r="E12" s="25">
        <f>DADOS!C19</f>
        <v>1743.48</v>
      </c>
      <c r="F12" s="19"/>
    </row>
    <row r="13" spans="1:6" ht="25.5" x14ac:dyDescent="0.25">
      <c r="A13" s="16">
        <v>3</v>
      </c>
      <c r="B13" s="22" t="s">
        <v>45</v>
      </c>
      <c r="C13" s="296" t="s">
        <v>365</v>
      </c>
      <c r="D13" s="297"/>
      <c r="E13" s="298"/>
      <c r="F13" s="19"/>
    </row>
    <row r="14" spans="1:6" x14ac:dyDescent="0.25">
      <c r="A14" s="16">
        <v>4</v>
      </c>
      <c r="B14" s="26" t="s">
        <v>46</v>
      </c>
      <c r="C14" s="299" t="str">
        <f>DADOS!C14</f>
        <v>01/01/2025 A 31/12/2025</v>
      </c>
      <c r="D14" s="237"/>
      <c r="E14" s="238"/>
      <c r="F14" s="19"/>
    </row>
    <row r="15" spans="1:6" x14ac:dyDescent="0.25">
      <c r="A15" s="276" t="s">
        <v>47</v>
      </c>
      <c r="B15" s="277"/>
      <c r="C15" s="277"/>
      <c r="D15" s="277"/>
      <c r="E15" s="278"/>
      <c r="F15" s="19"/>
    </row>
    <row r="16" spans="1:6" x14ac:dyDescent="0.25">
      <c r="A16" s="28">
        <v>1</v>
      </c>
      <c r="B16" s="244" t="s">
        <v>48</v>
      </c>
      <c r="C16" s="237"/>
      <c r="D16" s="243"/>
      <c r="E16" s="29" t="s">
        <v>41</v>
      </c>
      <c r="F16" s="19"/>
    </row>
    <row r="17" spans="1:6" x14ac:dyDescent="0.25">
      <c r="A17" s="30" t="s">
        <v>29</v>
      </c>
      <c r="B17" s="31" t="s">
        <v>49</v>
      </c>
      <c r="C17" s="288"/>
      <c r="D17" s="243"/>
      <c r="E17" s="32">
        <f>+E12</f>
        <v>1743.48</v>
      </c>
      <c r="F17" s="19"/>
    </row>
    <row r="18" spans="1:6" x14ac:dyDescent="0.25">
      <c r="A18" s="30" t="s">
        <v>31</v>
      </c>
      <c r="B18" s="31" t="s">
        <v>50</v>
      </c>
      <c r="C18" s="33">
        <v>0</v>
      </c>
      <c r="D18" s="74">
        <f>E17</f>
        <v>1743.48</v>
      </c>
      <c r="E18" s="27">
        <f>E17*C18</f>
        <v>0</v>
      </c>
      <c r="F18" s="19"/>
    </row>
    <row r="19" spans="1:6" x14ac:dyDescent="0.25">
      <c r="A19" s="30" t="s">
        <v>33</v>
      </c>
      <c r="B19" s="34" t="s">
        <v>51</v>
      </c>
      <c r="C19" s="33">
        <v>0.4</v>
      </c>
      <c r="D19" s="74">
        <f>DADOS!C18</f>
        <v>1518</v>
      </c>
      <c r="E19" s="27">
        <f>D19*C19</f>
        <v>607.20000000000005</v>
      </c>
      <c r="F19" s="19"/>
    </row>
    <row r="20" spans="1:6" x14ac:dyDescent="0.25">
      <c r="A20" s="30" t="s">
        <v>35</v>
      </c>
      <c r="B20" s="31" t="s">
        <v>52</v>
      </c>
      <c r="C20" s="272">
        <v>0</v>
      </c>
      <c r="D20" s="289"/>
      <c r="E20" s="27">
        <f>(E17+E18+E19)*C20*(7/12)</f>
        <v>0</v>
      </c>
      <c r="F20" s="19"/>
    </row>
    <row r="21" spans="1:6" ht="24" customHeight="1" x14ac:dyDescent="0.25">
      <c r="A21" s="30" t="s">
        <v>53</v>
      </c>
      <c r="B21" s="31" t="s">
        <v>54</v>
      </c>
      <c r="C21" s="272"/>
      <c r="D21" s="243"/>
      <c r="E21" s="27">
        <f>(E17+E18+E19)*(1/12)*(1+C20)*0</f>
        <v>0</v>
      </c>
      <c r="F21" s="19"/>
    </row>
    <row r="22" spans="1:6" ht="15.75" customHeight="1" x14ac:dyDescent="0.25">
      <c r="A22" s="30" t="s">
        <v>55</v>
      </c>
      <c r="B22" s="35" t="s">
        <v>56</v>
      </c>
      <c r="C22" s="273"/>
      <c r="D22" s="243"/>
      <c r="E22" s="27">
        <v>0</v>
      </c>
      <c r="F22" s="19"/>
    </row>
    <row r="23" spans="1:6" ht="15.75" customHeight="1" x14ac:dyDescent="0.25">
      <c r="A23" s="239" t="s">
        <v>57</v>
      </c>
      <c r="B23" s="240"/>
      <c r="C23" s="240"/>
      <c r="D23" s="241"/>
      <c r="E23" s="77">
        <f>SUM(E17:E22)</f>
        <v>2350.6800000000003</v>
      </c>
      <c r="F23" s="19"/>
    </row>
    <row r="24" spans="1:6" ht="15.75" customHeight="1" x14ac:dyDescent="0.25">
      <c r="A24" s="276" t="s">
        <v>58</v>
      </c>
      <c r="B24" s="277"/>
      <c r="C24" s="277"/>
      <c r="D24" s="277"/>
      <c r="E24" s="278"/>
      <c r="F24" s="18"/>
    </row>
    <row r="25" spans="1:6" ht="15.75" customHeight="1" x14ac:dyDescent="0.25">
      <c r="A25" s="28" t="s">
        <v>59</v>
      </c>
      <c r="B25" s="244" t="s">
        <v>60</v>
      </c>
      <c r="C25" s="237"/>
      <c r="D25" s="243"/>
      <c r="E25" s="29" t="s">
        <v>41</v>
      </c>
      <c r="F25" s="19"/>
    </row>
    <row r="26" spans="1:6" ht="15.75" customHeight="1" x14ac:dyDescent="0.25">
      <c r="A26" s="30" t="s">
        <v>29</v>
      </c>
      <c r="B26" s="37" t="s">
        <v>61</v>
      </c>
      <c r="C26" s="26"/>
      <c r="D26" s="38">
        <f>1/12</f>
        <v>8.3333333333333329E-2</v>
      </c>
      <c r="E26" s="27">
        <f>($E$23*D26)</f>
        <v>195.89000000000001</v>
      </c>
      <c r="F26" s="19"/>
    </row>
    <row r="27" spans="1:6" ht="15.75" customHeight="1" x14ac:dyDescent="0.25">
      <c r="A27" s="30" t="s">
        <v>31</v>
      </c>
      <c r="B27" s="37" t="s">
        <v>62</v>
      </c>
      <c r="C27" s="26"/>
      <c r="D27" s="38">
        <v>0.1111</v>
      </c>
      <c r="E27" s="27">
        <f>($E$23*D27)</f>
        <v>261.16054800000006</v>
      </c>
      <c r="F27" s="19"/>
    </row>
    <row r="28" spans="1:6" ht="15.75" customHeight="1" x14ac:dyDescent="0.25">
      <c r="A28" s="239" t="s">
        <v>28</v>
      </c>
      <c r="B28" s="240"/>
      <c r="C28" s="241"/>
      <c r="D28" s="78">
        <f>SUM(D26:D27)</f>
        <v>0.19443333333333335</v>
      </c>
      <c r="E28" s="77">
        <f>SUM(E26:E27)</f>
        <v>457.05054800000005</v>
      </c>
      <c r="F28" s="19"/>
    </row>
    <row r="29" spans="1:6" ht="26.25" customHeight="1" x14ac:dyDescent="0.25">
      <c r="A29" s="253" t="s">
        <v>63</v>
      </c>
      <c r="B29" s="237"/>
      <c r="C29" s="237"/>
      <c r="D29" s="237"/>
      <c r="E29" s="238"/>
      <c r="F29" s="19"/>
    </row>
    <row r="30" spans="1:6" ht="15.75" customHeight="1" x14ac:dyDescent="0.25">
      <c r="A30" s="28" t="s">
        <v>64</v>
      </c>
      <c r="B30" s="244" t="s">
        <v>65</v>
      </c>
      <c r="C30" s="237"/>
      <c r="D30" s="243"/>
      <c r="E30" s="29" t="s">
        <v>41</v>
      </c>
      <c r="F30" s="19"/>
    </row>
    <row r="31" spans="1:6" ht="15.75" customHeight="1" x14ac:dyDescent="0.25">
      <c r="A31" s="30" t="s">
        <v>29</v>
      </c>
      <c r="B31" s="251" t="s">
        <v>66</v>
      </c>
      <c r="C31" s="252"/>
      <c r="D31" s="38">
        <v>0.2</v>
      </c>
      <c r="E31" s="27">
        <f>(E23+E28)*D31</f>
        <v>561.54610960000014</v>
      </c>
      <c r="F31" s="19"/>
    </row>
    <row r="32" spans="1:6" ht="15.75" customHeight="1" x14ac:dyDescent="0.25">
      <c r="A32" s="30" t="s">
        <v>31</v>
      </c>
      <c r="B32" s="251" t="s">
        <v>67</v>
      </c>
      <c r="C32" s="252"/>
      <c r="D32" s="38">
        <v>1.4999999999999999E-2</v>
      </c>
      <c r="E32" s="27">
        <f>(E23+E28)*D32</f>
        <v>42.115958220000003</v>
      </c>
      <c r="F32" s="19"/>
    </row>
    <row r="33" spans="1:6" ht="15.75" customHeight="1" x14ac:dyDescent="0.25">
      <c r="A33" s="30" t="s">
        <v>33</v>
      </c>
      <c r="B33" s="251" t="s">
        <v>138</v>
      </c>
      <c r="C33" s="252"/>
      <c r="D33" s="38">
        <v>0.01</v>
      </c>
      <c r="E33" s="27">
        <f>(E23+E28)*D33</f>
        <v>28.077305480000007</v>
      </c>
      <c r="F33" s="19"/>
    </row>
    <row r="34" spans="1:6" ht="15.75" customHeight="1" x14ac:dyDescent="0.25">
      <c r="A34" s="30" t="s">
        <v>35</v>
      </c>
      <c r="B34" s="251" t="s">
        <v>68</v>
      </c>
      <c r="C34" s="252"/>
      <c r="D34" s="38">
        <v>2E-3</v>
      </c>
      <c r="E34" s="27">
        <f>(E23+E28)*D34</f>
        <v>5.6154610960000007</v>
      </c>
      <c r="F34" s="19"/>
    </row>
    <row r="35" spans="1:6" ht="15.75" customHeight="1" x14ac:dyDescent="0.25">
      <c r="A35" s="30" t="s">
        <v>53</v>
      </c>
      <c r="B35" s="251" t="s">
        <v>139</v>
      </c>
      <c r="C35" s="252"/>
      <c r="D35" s="38">
        <v>2.5000000000000001E-2</v>
      </c>
      <c r="E35" s="27">
        <f>(E23+E28)*D35</f>
        <v>70.193263700000017</v>
      </c>
      <c r="F35" s="19"/>
    </row>
    <row r="36" spans="1:6" ht="15.75" customHeight="1" x14ac:dyDescent="0.25">
      <c r="A36" s="30" t="s">
        <v>55</v>
      </c>
      <c r="B36" s="251" t="s">
        <v>69</v>
      </c>
      <c r="C36" s="252"/>
      <c r="D36" s="38">
        <v>0.08</v>
      </c>
      <c r="E36" s="27">
        <f>(E23+E28)*D36</f>
        <v>224.61844384000005</v>
      </c>
      <c r="F36" s="19"/>
    </row>
    <row r="37" spans="1:6" ht="15.75" customHeight="1" x14ac:dyDescent="0.25">
      <c r="A37" s="30" t="s">
        <v>70</v>
      </c>
      <c r="B37" s="251" t="s">
        <v>71</v>
      </c>
      <c r="C37" s="252"/>
      <c r="D37" s="38">
        <v>0.03</v>
      </c>
      <c r="E37" s="27">
        <f>(E23+E28)*D37</f>
        <v>84.231916440000006</v>
      </c>
      <c r="F37" s="19"/>
    </row>
    <row r="38" spans="1:6" ht="15.75" customHeight="1" x14ac:dyDescent="0.25">
      <c r="A38" s="40" t="s">
        <v>72</v>
      </c>
      <c r="B38" s="274" t="s">
        <v>73</v>
      </c>
      <c r="C38" s="275"/>
      <c r="D38" s="41">
        <v>6.0000000000000001E-3</v>
      </c>
      <c r="E38" s="36">
        <f>(E23+E28)*D38</f>
        <v>16.846383288000002</v>
      </c>
      <c r="F38" s="18"/>
    </row>
    <row r="39" spans="1:6" ht="15.75" customHeight="1" x14ac:dyDescent="0.25">
      <c r="A39" s="239" t="s">
        <v>28</v>
      </c>
      <c r="B39" s="240"/>
      <c r="C39" s="241"/>
      <c r="D39" s="78">
        <f t="shared" ref="D39" si="0">SUM(D31:D38)</f>
        <v>0.3680000000000001</v>
      </c>
      <c r="E39" s="77">
        <f>SUM(E31:E38)</f>
        <v>1033.2448416640002</v>
      </c>
      <c r="F39" s="19"/>
    </row>
    <row r="40" spans="1:6" ht="15.75" customHeight="1" x14ac:dyDescent="0.25">
      <c r="A40" s="28" t="s">
        <v>74</v>
      </c>
      <c r="B40" s="244" t="s">
        <v>75</v>
      </c>
      <c r="C40" s="237"/>
      <c r="D40" s="243"/>
      <c r="E40" s="29" t="s">
        <v>41</v>
      </c>
      <c r="F40" s="19"/>
    </row>
    <row r="41" spans="1:6" ht="15.75" customHeight="1" x14ac:dyDescent="0.25">
      <c r="A41" s="30" t="s">
        <v>29</v>
      </c>
      <c r="B41" s="271" t="s">
        <v>76</v>
      </c>
      <c r="C41" s="243"/>
      <c r="D41" s="42">
        <f>DADOS!C21</f>
        <v>3</v>
      </c>
      <c r="E41" s="32">
        <f>(44*D41)-(E12*0.06)</f>
        <v>27.391199999999998</v>
      </c>
      <c r="F41" s="19"/>
    </row>
    <row r="42" spans="1:6" ht="15.75" customHeight="1" x14ac:dyDescent="0.25">
      <c r="A42" s="30" t="s">
        <v>31</v>
      </c>
      <c r="B42" s="271" t="s">
        <v>77</v>
      </c>
      <c r="C42" s="243"/>
      <c r="D42" s="43">
        <f>DADOS!C20</f>
        <v>626.94000000000005</v>
      </c>
      <c r="E42" s="32">
        <f>(D42)-(D42*0.99%)</f>
        <v>620.733294</v>
      </c>
      <c r="F42" s="19"/>
    </row>
    <row r="43" spans="1:6" ht="15.75" customHeight="1" x14ac:dyDescent="0.25">
      <c r="A43" s="30" t="s">
        <v>33</v>
      </c>
      <c r="B43" s="271" t="s">
        <v>78</v>
      </c>
      <c r="C43" s="243"/>
      <c r="D43" s="44"/>
      <c r="E43" s="32">
        <v>0</v>
      </c>
      <c r="F43" s="19"/>
    </row>
    <row r="44" spans="1:6" ht="15.75" customHeight="1" x14ac:dyDescent="0.25">
      <c r="A44" s="30" t="s">
        <v>35</v>
      </c>
      <c r="B44" s="271" t="s">
        <v>79</v>
      </c>
      <c r="C44" s="243"/>
      <c r="D44" s="45">
        <v>0.5</v>
      </c>
      <c r="E44" s="27">
        <f>(((E12*50%)*0.0199)*2)/12</f>
        <v>2.8912710000000001</v>
      </c>
      <c r="F44" s="19"/>
    </row>
    <row r="45" spans="1:6" ht="15.75" customHeight="1" x14ac:dyDescent="0.25">
      <c r="A45" s="70" t="s">
        <v>53</v>
      </c>
      <c r="B45" s="268" t="s">
        <v>80</v>
      </c>
      <c r="C45" s="261"/>
      <c r="D45" s="71">
        <f>DADOS!C23</f>
        <v>37425.03</v>
      </c>
      <c r="E45" s="60">
        <v>20.93</v>
      </c>
      <c r="F45" s="19"/>
    </row>
    <row r="46" spans="1:6" ht="15.75" customHeight="1" x14ac:dyDescent="0.25">
      <c r="A46" s="269" t="s">
        <v>81</v>
      </c>
      <c r="B46" s="270"/>
      <c r="C46" s="270"/>
      <c r="D46" s="270"/>
      <c r="E46" s="79">
        <f>SUM(E41:E45)</f>
        <v>671.94576499999994</v>
      </c>
      <c r="F46" s="19"/>
    </row>
    <row r="47" spans="1:6" ht="15.75" customHeight="1" x14ac:dyDescent="0.25">
      <c r="A47" s="233" t="s">
        <v>82</v>
      </c>
      <c r="B47" s="234"/>
      <c r="C47" s="234"/>
      <c r="D47" s="234"/>
      <c r="E47" s="235"/>
      <c r="F47" s="19"/>
    </row>
    <row r="48" spans="1:6" ht="15.75" customHeight="1" x14ac:dyDescent="0.25">
      <c r="A48" s="28" t="s">
        <v>59</v>
      </c>
      <c r="B48" s="245" t="s">
        <v>83</v>
      </c>
      <c r="C48" s="246"/>
      <c r="D48" s="247"/>
      <c r="E48" s="29">
        <f>E28</f>
        <v>457.05054800000005</v>
      </c>
      <c r="F48" s="19"/>
    </row>
    <row r="49" spans="1:11" ht="15.75" customHeight="1" x14ac:dyDescent="0.25">
      <c r="A49" s="28" t="s">
        <v>64</v>
      </c>
      <c r="B49" s="248" t="s">
        <v>84</v>
      </c>
      <c r="C49" s="249"/>
      <c r="D49" s="250"/>
      <c r="E49" s="27">
        <f>E39</f>
        <v>1033.2448416640002</v>
      </c>
      <c r="F49" s="19"/>
      <c r="G49" s="19"/>
    </row>
    <row r="50" spans="1:11" ht="15.75" customHeight="1" x14ac:dyDescent="0.25">
      <c r="A50" s="28" t="s">
        <v>74</v>
      </c>
      <c r="B50" s="248" t="s">
        <v>85</v>
      </c>
      <c r="C50" s="249"/>
      <c r="D50" s="250"/>
      <c r="E50" s="27">
        <f>E46</f>
        <v>671.94576499999994</v>
      </c>
      <c r="F50" s="19"/>
      <c r="G50" s="19"/>
    </row>
    <row r="51" spans="1:11" ht="15.75" customHeight="1" x14ac:dyDescent="0.25">
      <c r="A51" s="257" t="s">
        <v>28</v>
      </c>
      <c r="B51" s="258"/>
      <c r="C51" s="258"/>
      <c r="D51" s="259"/>
      <c r="E51" s="77">
        <f>SUM(E48:E50)</f>
        <v>2162.2411546640001</v>
      </c>
      <c r="F51" s="19"/>
      <c r="G51" s="19"/>
    </row>
    <row r="52" spans="1:11" ht="15.75" customHeight="1" x14ac:dyDescent="0.25">
      <c r="A52" s="276" t="s">
        <v>86</v>
      </c>
      <c r="B52" s="277"/>
      <c r="C52" s="277"/>
      <c r="D52" s="277"/>
      <c r="E52" s="278"/>
      <c r="F52" s="19"/>
      <c r="G52" s="19"/>
    </row>
    <row r="53" spans="1:11" ht="15.75" customHeight="1" x14ac:dyDescent="0.25">
      <c r="A53" s="28" t="s">
        <v>87</v>
      </c>
      <c r="B53" s="244" t="s">
        <v>88</v>
      </c>
      <c r="C53" s="237"/>
      <c r="D53" s="243"/>
      <c r="E53" s="29" t="s">
        <v>41</v>
      </c>
      <c r="F53" s="19"/>
      <c r="G53" s="19"/>
    </row>
    <row r="54" spans="1:11" ht="21.75" customHeight="1" x14ac:dyDescent="0.25">
      <c r="A54" s="253" t="s">
        <v>147</v>
      </c>
      <c r="B54" s="237"/>
      <c r="C54" s="237"/>
      <c r="D54" s="237"/>
      <c r="E54" s="238"/>
      <c r="F54" s="19"/>
      <c r="G54" s="19"/>
    </row>
    <row r="55" spans="1:11" ht="15.75" customHeight="1" x14ac:dyDescent="0.25">
      <c r="A55" s="30" t="s">
        <v>29</v>
      </c>
      <c r="B55" s="248" t="s">
        <v>89</v>
      </c>
      <c r="C55" s="250"/>
      <c r="D55" s="38">
        <f>(1/12)*0.055</f>
        <v>4.5833333333333334E-3</v>
      </c>
      <c r="E55" s="27">
        <f>ROUND(+D55*$E$23,2)</f>
        <v>10.77</v>
      </c>
      <c r="F55" s="19"/>
      <c r="G55" s="19"/>
    </row>
    <row r="56" spans="1:11" ht="15.75" customHeight="1" x14ac:dyDescent="0.25">
      <c r="A56" s="30" t="s">
        <v>31</v>
      </c>
      <c r="B56" s="248" t="s">
        <v>90</v>
      </c>
      <c r="C56" s="250"/>
      <c r="D56" s="38">
        <f>D36*D55</f>
        <v>3.6666666666666667E-4</v>
      </c>
      <c r="E56" s="27">
        <f t="shared" ref="E56:E57" si="1">ROUND(+D56*$E$23,2)</f>
        <v>0.86</v>
      </c>
      <c r="F56" s="19"/>
      <c r="G56" s="19"/>
      <c r="K56" s="1"/>
    </row>
    <row r="57" spans="1:11" ht="15.75" customHeight="1" x14ac:dyDescent="0.25">
      <c r="A57" s="30" t="s">
        <v>35</v>
      </c>
      <c r="B57" s="251" t="s">
        <v>91</v>
      </c>
      <c r="C57" s="252"/>
      <c r="D57" s="38">
        <v>1.9400000000000001E-2</v>
      </c>
      <c r="E57" s="27">
        <f t="shared" si="1"/>
        <v>45.6</v>
      </c>
      <c r="F57" s="19"/>
      <c r="G57" s="19"/>
    </row>
    <row r="58" spans="1:11" x14ac:dyDescent="0.25">
      <c r="A58" s="30" t="s">
        <v>53</v>
      </c>
      <c r="B58" s="248" t="s">
        <v>92</v>
      </c>
      <c r="C58" s="250"/>
      <c r="D58" s="38">
        <f>D39*D57</f>
        <v>7.1392000000000027E-3</v>
      </c>
      <c r="E58" s="27">
        <f>D58*E23</f>
        <v>16.78197465600001</v>
      </c>
      <c r="F58" s="19"/>
      <c r="G58" s="19"/>
    </row>
    <row r="59" spans="1:11" x14ac:dyDescent="0.25">
      <c r="A59" s="30" t="s">
        <v>55</v>
      </c>
      <c r="B59" s="248" t="s">
        <v>93</v>
      </c>
      <c r="C59" s="250"/>
      <c r="D59" s="38">
        <v>0.04</v>
      </c>
      <c r="E59" s="27">
        <f>ROUND(+D59*$E$23,2)</f>
        <v>94.03</v>
      </c>
      <c r="F59" s="19"/>
      <c r="G59" s="19"/>
    </row>
    <row r="60" spans="1:11" ht="15.75" customHeight="1" x14ac:dyDescent="0.25">
      <c r="A60" s="239" t="s">
        <v>28</v>
      </c>
      <c r="B60" s="240"/>
      <c r="C60" s="267"/>
      <c r="D60" s="80">
        <f t="shared" ref="D60" si="2">SUM(D55:D59)</f>
        <v>7.1489200000000003E-2</v>
      </c>
      <c r="E60" s="77">
        <f>SUM(E55:E59)</f>
        <v>168.04197465600001</v>
      </c>
      <c r="F60" s="19"/>
      <c r="G60" s="19"/>
    </row>
    <row r="61" spans="1:11" ht="15.75" customHeight="1" x14ac:dyDescent="0.25">
      <c r="A61" s="276" t="s">
        <v>94</v>
      </c>
      <c r="B61" s="277"/>
      <c r="C61" s="277"/>
      <c r="D61" s="277"/>
      <c r="E61" s="278"/>
      <c r="F61" s="19"/>
      <c r="G61" s="19"/>
    </row>
    <row r="62" spans="1:11" ht="21" customHeight="1" x14ac:dyDescent="0.25">
      <c r="A62" s="236" t="s">
        <v>148</v>
      </c>
      <c r="B62" s="237"/>
      <c r="C62" s="237"/>
      <c r="D62" s="237"/>
      <c r="E62" s="238"/>
      <c r="F62" s="19"/>
      <c r="G62" s="19"/>
    </row>
    <row r="63" spans="1:11" ht="15.75" customHeight="1" x14ac:dyDescent="0.25">
      <c r="A63" s="28" t="s">
        <v>13</v>
      </c>
      <c r="B63" s="311" t="s">
        <v>95</v>
      </c>
      <c r="C63" s="237"/>
      <c r="D63" s="243"/>
      <c r="E63" s="29" t="s">
        <v>41</v>
      </c>
      <c r="F63" s="19"/>
      <c r="G63" s="19"/>
    </row>
    <row r="64" spans="1:11" ht="15.75" customHeight="1" x14ac:dyDescent="0.25">
      <c r="A64" s="30" t="s">
        <v>29</v>
      </c>
      <c r="B64" s="248" t="s">
        <v>96</v>
      </c>
      <c r="C64" s="250"/>
      <c r="D64" s="38">
        <f>((1+1/3)/12)/12</f>
        <v>9.2592592592592587E-3</v>
      </c>
      <c r="E64" s="27">
        <f t="shared" ref="E64:E69" si="3">($E$23+$E$51+$E$60+$E$82)*D64</f>
        <v>44.307098419629625</v>
      </c>
      <c r="F64" s="19"/>
      <c r="G64" s="47"/>
      <c r="K64" s="48"/>
    </row>
    <row r="65" spans="1:6" x14ac:dyDescent="0.25">
      <c r="A65" s="30" t="s">
        <v>31</v>
      </c>
      <c r="B65" s="248" t="s">
        <v>97</v>
      </c>
      <c r="C65" s="250"/>
      <c r="D65" s="38">
        <v>1.66E-2</v>
      </c>
      <c r="E65" s="27">
        <f>($E$23+$E$51+$E$60+$E$82)*D65</f>
        <v>79.433766046711995</v>
      </c>
      <c r="F65" s="19"/>
    </row>
    <row r="66" spans="1:6" ht="15.75" customHeight="1" x14ac:dyDescent="0.25">
      <c r="A66" s="30" t="s">
        <v>33</v>
      </c>
      <c r="B66" s="248" t="s">
        <v>98</v>
      </c>
      <c r="C66" s="250"/>
      <c r="D66" s="38">
        <f>(5/30)*(1/12)*3.24%*50%</f>
        <v>2.2500000000000002E-4</v>
      </c>
      <c r="E66" s="27">
        <f t="shared" si="3"/>
        <v>1.076662491597</v>
      </c>
      <c r="F66" s="19"/>
    </row>
    <row r="67" spans="1:6" ht="15.75" customHeight="1" x14ac:dyDescent="0.25">
      <c r="A67" s="30" t="s">
        <v>35</v>
      </c>
      <c r="B67" s="248" t="s">
        <v>99</v>
      </c>
      <c r="C67" s="250"/>
      <c r="D67" s="38">
        <f>(((15/30)/12)*(8%*100%))</f>
        <v>3.3333333333333331E-3</v>
      </c>
      <c r="E67" s="27">
        <f t="shared" si="3"/>
        <v>15.950555431066665</v>
      </c>
      <c r="F67" s="19"/>
    </row>
    <row r="68" spans="1:6" ht="15.75" customHeight="1" x14ac:dyDescent="0.25">
      <c r="A68" s="30" t="s">
        <v>53</v>
      </c>
      <c r="B68" s="248" t="s">
        <v>100</v>
      </c>
      <c r="C68" s="250"/>
      <c r="D68" s="38">
        <f>((1+1/3)/12)*0.03*((4/12))</f>
        <v>1.1111111111111109E-3</v>
      </c>
      <c r="E68" s="27">
        <f t="shared" si="3"/>
        <v>5.316851810355554</v>
      </c>
      <c r="F68" s="19"/>
    </row>
    <row r="69" spans="1:6" ht="15.75" customHeight="1" x14ac:dyDescent="0.25">
      <c r="A69" s="30" t="s">
        <v>55</v>
      </c>
      <c r="B69" s="248" t="s">
        <v>101</v>
      </c>
      <c r="C69" s="250"/>
      <c r="D69" s="38">
        <v>0</v>
      </c>
      <c r="E69" s="27">
        <f t="shared" si="3"/>
        <v>0</v>
      </c>
      <c r="F69" s="19"/>
    </row>
    <row r="70" spans="1:6" ht="15.75" customHeight="1" x14ac:dyDescent="0.25">
      <c r="A70" s="239" t="s">
        <v>102</v>
      </c>
      <c r="B70" s="240"/>
      <c r="C70" s="241"/>
      <c r="D70" s="80">
        <f t="shared" ref="D70" si="4">SUM(D64:D69)</f>
        <v>3.0528703703703704E-2</v>
      </c>
      <c r="E70" s="77">
        <f>SUM(E64:E69)</f>
        <v>146.08493419936084</v>
      </c>
      <c r="F70" s="19"/>
    </row>
    <row r="71" spans="1:6" ht="15.75" customHeight="1" x14ac:dyDescent="0.25">
      <c r="A71" s="242"/>
      <c r="B71" s="237"/>
      <c r="C71" s="237"/>
      <c r="D71" s="243"/>
      <c r="E71" s="27"/>
      <c r="F71" s="19"/>
    </row>
    <row r="72" spans="1:6" ht="15.75" customHeight="1" x14ac:dyDescent="0.25">
      <c r="A72" s="28" t="s">
        <v>21</v>
      </c>
      <c r="B72" s="244" t="s">
        <v>103</v>
      </c>
      <c r="C72" s="237"/>
      <c r="D72" s="243"/>
      <c r="E72" s="29" t="s">
        <v>41</v>
      </c>
      <c r="F72" s="19"/>
    </row>
    <row r="73" spans="1:6" ht="15.75" customHeight="1" x14ac:dyDescent="0.25">
      <c r="A73" s="30" t="s">
        <v>29</v>
      </c>
      <c r="B73" s="248" t="s">
        <v>104</v>
      </c>
      <c r="C73" s="250"/>
      <c r="D73" s="38">
        <v>0</v>
      </c>
      <c r="E73" s="27">
        <f>ROUND(+$E$24*D73,2)</f>
        <v>0</v>
      </c>
      <c r="F73" s="19"/>
    </row>
    <row r="74" spans="1:6" ht="15.75" customHeight="1" x14ac:dyDescent="0.25">
      <c r="A74" s="239" t="s">
        <v>28</v>
      </c>
      <c r="B74" s="240"/>
      <c r="C74" s="267"/>
      <c r="D74" s="78">
        <f t="shared" ref="D74:E74" si="5">D73</f>
        <v>0</v>
      </c>
      <c r="E74" s="77">
        <f t="shared" si="5"/>
        <v>0</v>
      </c>
      <c r="F74" s="19"/>
    </row>
    <row r="75" spans="1:6" ht="15.75" customHeight="1" x14ac:dyDescent="0.25">
      <c r="A75" s="276" t="s">
        <v>105</v>
      </c>
      <c r="B75" s="277"/>
      <c r="C75" s="277"/>
      <c r="D75" s="277"/>
      <c r="E75" s="278"/>
      <c r="F75" s="19"/>
    </row>
    <row r="76" spans="1:6" ht="15.75" customHeight="1" x14ac:dyDescent="0.25">
      <c r="A76" s="28">
        <v>4</v>
      </c>
      <c r="B76" s="244" t="s">
        <v>106</v>
      </c>
      <c r="C76" s="237"/>
      <c r="D76" s="243"/>
      <c r="E76" s="29" t="s">
        <v>41</v>
      </c>
      <c r="F76" s="19"/>
    </row>
    <row r="77" spans="1:6" ht="15.75" customHeight="1" x14ac:dyDescent="0.25">
      <c r="A77" s="30" t="s">
        <v>13</v>
      </c>
      <c r="B77" s="248" t="s">
        <v>95</v>
      </c>
      <c r="C77" s="250"/>
      <c r="D77" s="38">
        <f t="shared" ref="D77" si="6">D70</f>
        <v>3.0528703703703704E-2</v>
      </c>
      <c r="E77" s="27">
        <f>E70</f>
        <v>146.08493419936084</v>
      </c>
      <c r="F77" s="19"/>
    </row>
    <row r="78" spans="1:6" ht="15.75" customHeight="1" x14ac:dyDescent="0.25">
      <c r="A78" s="30" t="s">
        <v>14</v>
      </c>
      <c r="B78" s="248" t="s">
        <v>103</v>
      </c>
      <c r="C78" s="250"/>
      <c r="D78" s="38">
        <f t="shared" ref="D78:E78" si="7">D74</f>
        <v>0</v>
      </c>
      <c r="E78" s="27">
        <f t="shared" si="7"/>
        <v>0</v>
      </c>
      <c r="F78" s="19"/>
    </row>
    <row r="79" spans="1:6" ht="15.75" customHeight="1" x14ac:dyDescent="0.25">
      <c r="A79" s="239" t="s">
        <v>107</v>
      </c>
      <c r="B79" s="240"/>
      <c r="C79" s="241"/>
      <c r="D79" s="80">
        <f>SUM(D74:D78)</f>
        <v>3.0528703703703704E-2</v>
      </c>
      <c r="E79" s="77">
        <f>SUM(E77+E78)</f>
        <v>146.08493419936084</v>
      </c>
      <c r="F79" s="19"/>
    </row>
    <row r="80" spans="1:6" ht="15.75" customHeight="1" x14ac:dyDescent="0.25">
      <c r="A80" s="242" t="s">
        <v>108</v>
      </c>
      <c r="B80" s="237"/>
      <c r="C80" s="237"/>
      <c r="D80" s="243"/>
      <c r="E80" s="27"/>
      <c r="F80" s="19"/>
    </row>
    <row r="81" spans="1:5" ht="15.75" customHeight="1" x14ac:dyDescent="0.25">
      <c r="A81" s="28">
        <v>5</v>
      </c>
      <c r="B81" s="244" t="s">
        <v>109</v>
      </c>
      <c r="C81" s="237"/>
      <c r="D81" s="243"/>
      <c r="E81" s="29" t="s">
        <v>41</v>
      </c>
    </row>
    <row r="82" spans="1:5" ht="15.75" customHeight="1" x14ac:dyDescent="0.25">
      <c r="A82" s="30" t="s">
        <v>29</v>
      </c>
      <c r="B82" s="248" t="s">
        <v>110</v>
      </c>
      <c r="C82" s="249"/>
      <c r="D82" s="250"/>
      <c r="E82" s="27">
        <f>INSUMOS!I147</f>
        <v>104.20349999999999</v>
      </c>
    </row>
    <row r="83" spans="1:5" ht="15.75" customHeight="1" x14ac:dyDescent="0.25">
      <c r="A83" s="30" t="s">
        <v>31</v>
      </c>
      <c r="B83" s="248" t="s">
        <v>111</v>
      </c>
      <c r="C83" s="249"/>
      <c r="D83" s="250"/>
      <c r="E83" s="27">
        <f>INSUMOS!I146</f>
        <v>427.67758333333342</v>
      </c>
    </row>
    <row r="84" spans="1:5" ht="15.75" customHeight="1" x14ac:dyDescent="0.25">
      <c r="A84" s="30" t="s">
        <v>33</v>
      </c>
      <c r="B84" s="248" t="s">
        <v>112</v>
      </c>
      <c r="C84" s="249"/>
      <c r="D84" s="250"/>
      <c r="E84" s="27">
        <f>INSUMOS!I148</f>
        <v>363.6225</v>
      </c>
    </row>
    <row r="85" spans="1:5" ht="15.75" customHeight="1" x14ac:dyDescent="0.25">
      <c r="A85" s="30" t="s">
        <v>35</v>
      </c>
      <c r="B85" s="248" t="s">
        <v>140</v>
      </c>
      <c r="C85" s="249"/>
      <c r="D85" s="250"/>
      <c r="E85" s="27">
        <v>0</v>
      </c>
    </row>
    <row r="86" spans="1:5" ht="15.75" customHeight="1" x14ac:dyDescent="0.25">
      <c r="A86" s="257" t="s">
        <v>113</v>
      </c>
      <c r="B86" s="258"/>
      <c r="C86" s="258"/>
      <c r="D86" s="259"/>
      <c r="E86" s="77">
        <f>SUM(E82:E85)</f>
        <v>895.50358333333338</v>
      </c>
    </row>
    <row r="87" spans="1:5" ht="15.75" customHeight="1" x14ac:dyDescent="0.25">
      <c r="A87" s="260" t="s">
        <v>114</v>
      </c>
      <c r="B87" s="261"/>
      <c r="C87" s="262" t="s">
        <v>28</v>
      </c>
      <c r="D87" s="261"/>
      <c r="E87" s="60">
        <f>SUM(E23+E51+E60+E79+E86)</f>
        <v>5722.5516468526939</v>
      </c>
    </row>
    <row r="88" spans="1:5" ht="27" customHeight="1" x14ac:dyDescent="0.25">
      <c r="A88" s="266" t="s">
        <v>115</v>
      </c>
      <c r="B88" s="266"/>
      <c r="C88" s="266"/>
      <c r="D88" s="266"/>
      <c r="E88" s="79">
        <f>E87</f>
        <v>5722.5516468526939</v>
      </c>
    </row>
    <row r="89" spans="1:5" ht="15.75" customHeight="1" x14ac:dyDescent="0.25">
      <c r="A89" s="263" t="s">
        <v>116</v>
      </c>
      <c r="B89" s="264"/>
      <c r="C89" s="264"/>
      <c r="D89" s="265"/>
      <c r="E89" s="72"/>
    </row>
    <row r="90" spans="1:5" ht="15.75" customHeight="1" x14ac:dyDescent="0.25">
      <c r="A90" s="28">
        <v>6</v>
      </c>
      <c r="B90" s="244" t="s">
        <v>117</v>
      </c>
      <c r="C90" s="237"/>
      <c r="D90" s="243"/>
      <c r="E90" s="29" t="s">
        <v>41</v>
      </c>
    </row>
    <row r="91" spans="1:5" ht="15.75" customHeight="1" x14ac:dyDescent="0.25">
      <c r="A91" s="28" t="s">
        <v>29</v>
      </c>
      <c r="B91" s="37" t="s">
        <v>118</v>
      </c>
      <c r="C91" s="306">
        <v>0.03</v>
      </c>
      <c r="D91" s="243"/>
      <c r="E91" s="27">
        <f>+E88*C91</f>
        <v>171.6765494055808</v>
      </c>
    </row>
    <row r="92" spans="1:5" ht="15.75" customHeight="1" x14ac:dyDescent="0.25">
      <c r="A92" s="28" t="s">
        <v>31</v>
      </c>
      <c r="B92" s="37" t="s">
        <v>119</v>
      </c>
      <c r="C92" s="306">
        <v>6.7900000000000002E-2</v>
      </c>
      <c r="D92" s="243"/>
      <c r="E92" s="27">
        <f>C92*(+E88+E91)</f>
        <v>400.21809452593686</v>
      </c>
    </row>
    <row r="93" spans="1:5" ht="15" customHeight="1" x14ac:dyDescent="0.25">
      <c r="A93" s="307" t="s">
        <v>33</v>
      </c>
      <c r="B93" s="310" t="s">
        <v>120</v>
      </c>
      <c r="C93" s="243"/>
      <c r="D93" s="49">
        <f>1-D101</f>
        <v>0.85749999999999993</v>
      </c>
      <c r="E93" s="27">
        <f>+E88+E91+E92</f>
        <v>6294.4462907842117</v>
      </c>
    </row>
    <row r="94" spans="1:5" ht="15.75" customHeight="1" x14ac:dyDescent="0.25">
      <c r="A94" s="308"/>
      <c r="B94" s="50" t="s">
        <v>121</v>
      </c>
      <c r="C94" s="46"/>
      <c r="D94" s="46"/>
      <c r="E94" s="32">
        <f>+E93/D93</f>
        <v>7340.4621466871276</v>
      </c>
    </row>
    <row r="95" spans="1:5" ht="15.75" customHeight="1" x14ac:dyDescent="0.25">
      <c r="A95" s="308"/>
      <c r="B95" s="51" t="s">
        <v>122</v>
      </c>
      <c r="C95" s="52"/>
      <c r="D95" s="53"/>
      <c r="E95" s="27"/>
    </row>
    <row r="96" spans="1:5" ht="15.75" customHeight="1" x14ac:dyDescent="0.25">
      <c r="A96" s="308"/>
      <c r="B96" s="76" t="s">
        <v>144</v>
      </c>
      <c r="C96" s="54"/>
      <c r="D96" s="38">
        <v>1.6500000000000001E-2</v>
      </c>
      <c r="E96" s="27">
        <f>+E94*D96</f>
        <v>121.11762542033762</v>
      </c>
    </row>
    <row r="97" spans="1:5" ht="15.75" customHeight="1" x14ac:dyDescent="0.25">
      <c r="A97" s="308"/>
      <c r="B97" s="76" t="s">
        <v>145</v>
      </c>
      <c r="C97" s="54"/>
      <c r="D97" s="38">
        <v>7.5999999999999998E-2</v>
      </c>
      <c r="E97" s="27">
        <f>+E94*D97</f>
        <v>557.87512314822163</v>
      </c>
    </row>
    <row r="98" spans="1:5" ht="15.75" customHeight="1" x14ac:dyDescent="0.25">
      <c r="A98" s="308"/>
      <c r="B98" s="55" t="s">
        <v>123</v>
      </c>
      <c r="C98" s="56"/>
      <c r="D98" s="39"/>
      <c r="E98" s="27"/>
    </row>
    <row r="99" spans="1:5" ht="15.75" customHeight="1" x14ac:dyDescent="0.25">
      <c r="A99" s="308"/>
      <c r="B99" s="55" t="s">
        <v>124</v>
      </c>
      <c r="C99" s="56"/>
      <c r="D99" s="31"/>
      <c r="E99" s="27"/>
    </row>
    <row r="100" spans="1:5" ht="15.75" customHeight="1" x14ac:dyDescent="0.25">
      <c r="A100" s="309"/>
      <c r="B100" s="57" t="s">
        <v>125</v>
      </c>
      <c r="C100" s="58"/>
      <c r="D100" s="59">
        <v>0.05</v>
      </c>
      <c r="E100" s="60">
        <f>+E94*D100</f>
        <v>367.02310733435638</v>
      </c>
    </row>
    <row r="101" spans="1:5" ht="15.75" customHeight="1" x14ac:dyDescent="0.25">
      <c r="A101" s="61"/>
      <c r="B101" s="62" t="s">
        <v>126</v>
      </c>
      <c r="C101" s="62"/>
      <c r="D101" s="63">
        <f t="shared" ref="D101:E101" si="8">SUM(D96:D100)</f>
        <v>0.14250000000000002</v>
      </c>
      <c r="E101" s="64">
        <f t="shared" si="8"/>
        <v>1046.0158559029155</v>
      </c>
    </row>
    <row r="102" spans="1:5" ht="15.75" customHeight="1" x14ac:dyDescent="0.25">
      <c r="A102" s="301" t="s">
        <v>127</v>
      </c>
      <c r="B102" s="283"/>
      <c r="C102" s="283"/>
      <c r="D102" s="302"/>
      <c r="E102" s="81">
        <f>+E91+E92+E101</f>
        <v>1617.9104998344333</v>
      </c>
    </row>
    <row r="103" spans="1:5" ht="15.75" customHeight="1" x14ac:dyDescent="0.25">
      <c r="A103" s="303" t="s">
        <v>128</v>
      </c>
      <c r="B103" s="240"/>
      <c r="C103" s="240"/>
      <c r="D103" s="241"/>
      <c r="E103" s="73" t="s">
        <v>41</v>
      </c>
    </row>
    <row r="104" spans="1:5" ht="15.75" customHeight="1" x14ac:dyDescent="0.25">
      <c r="A104" s="28" t="s">
        <v>29</v>
      </c>
      <c r="B104" s="244" t="s">
        <v>129</v>
      </c>
      <c r="C104" s="237"/>
      <c r="D104" s="243"/>
      <c r="E104" s="27">
        <f>+E23</f>
        <v>2350.6800000000003</v>
      </c>
    </row>
    <row r="105" spans="1:5" ht="15.75" customHeight="1" x14ac:dyDescent="0.25">
      <c r="A105" s="28" t="s">
        <v>31</v>
      </c>
      <c r="B105" s="244" t="s">
        <v>130</v>
      </c>
      <c r="C105" s="237"/>
      <c r="D105" s="243"/>
      <c r="E105" s="27">
        <f>E51</f>
        <v>2162.2411546640001</v>
      </c>
    </row>
    <row r="106" spans="1:5" ht="15.75" customHeight="1" x14ac:dyDescent="0.25">
      <c r="A106" s="28" t="s">
        <v>33</v>
      </c>
      <c r="B106" s="244" t="s">
        <v>131</v>
      </c>
      <c r="C106" s="237"/>
      <c r="D106" s="243"/>
      <c r="E106" s="27">
        <f>E60</f>
        <v>168.04197465600001</v>
      </c>
    </row>
    <row r="107" spans="1:5" ht="15.75" customHeight="1" x14ac:dyDescent="0.25">
      <c r="A107" s="28" t="s">
        <v>35</v>
      </c>
      <c r="B107" s="244" t="s">
        <v>132</v>
      </c>
      <c r="C107" s="237"/>
      <c r="D107" s="243"/>
      <c r="E107" s="27">
        <f>E79</f>
        <v>146.08493419936084</v>
      </c>
    </row>
    <row r="108" spans="1:5" ht="15.75" customHeight="1" x14ac:dyDescent="0.25">
      <c r="A108" s="28" t="s">
        <v>53</v>
      </c>
      <c r="B108" s="244" t="s">
        <v>133</v>
      </c>
      <c r="C108" s="237"/>
      <c r="D108" s="243"/>
      <c r="E108" s="27">
        <f>E86</f>
        <v>895.50358333333338</v>
      </c>
    </row>
    <row r="109" spans="1:5" ht="15.75" customHeight="1" x14ac:dyDescent="0.25">
      <c r="A109" s="303" t="s">
        <v>134</v>
      </c>
      <c r="B109" s="304"/>
      <c r="C109" s="304"/>
      <c r="D109" s="305"/>
      <c r="E109" s="82">
        <f>SUM(E104:E108)</f>
        <v>5722.5516468526939</v>
      </c>
    </row>
    <row r="110" spans="1:5" ht="15.75" customHeight="1" x14ac:dyDescent="0.25">
      <c r="A110" s="28" t="s">
        <v>55</v>
      </c>
      <c r="B110" s="300" t="s">
        <v>141</v>
      </c>
      <c r="C110" s="237"/>
      <c r="D110" s="243"/>
      <c r="E110" s="27">
        <f>+E102</f>
        <v>1617.9104998344333</v>
      </c>
    </row>
    <row r="111" spans="1:5" ht="15.75" customHeight="1" x14ac:dyDescent="0.25">
      <c r="A111" s="254" t="s">
        <v>135</v>
      </c>
      <c r="B111" s="255"/>
      <c r="C111" s="255"/>
      <c r="D111" s="256"/>
      <c r="E111" s="83">
        <f>+E109+E110</f>
        <v>7340.4621466871267</v>
      </c>
    </row>
    <row r="112" spans="1:5" ht="15.75" customHeight="1" thickBot="1" x14ac:dyDescent="0.3">
      <c r="A112" s="65"/>
      <c r="B112" s="66"/>
      <c r="C112" s="66"/>
      <c r="D112" s="66"/>
      <c r="E112" s="67"/>
    </row>
    <row r="113" spans="1:5" ht="15.75" customHeight="1" x14ac:dyDescent="0.25">
      <c r="A113" s="224" t="s">
        <v>370</v>
      </c>
      <c r="B113" s="225"/>
      <c r="C113" s="225"/>
      <c r="D113" s="225"/>
      <c r="E113" s="226"/>
    </row>
    <row r="114" spans="1:5" ht="15.75" customHeight="1" x14ac:dyDescent="0.25">
      <c r="A114" s="227"/>
      <c r="B114" s="228"/>
      <c r="C114" s="228"/>
      <c r="D114" s="228"/>
      <c r="E114" s="229"/>
    </row>
    <row r="115" spans="1:5" ht="15" customHeight="1" x14ac:dyDescent="0.25">
      <c r="A115" s="227"/>
      <c r="B115" s="228"/>
      <c r="C115" s="228"/>
      <c r="D115" s="228"/>
      <c r="E115" s="229"/>
    </row>
    <row r="116" spans="1:5" ht="15" customHeight="1" thickBot="1" x14ac:dyDescent="0.3">
      <c r="A116" s="230"/>
      <c r="B116" s="231"/>
      <c r="C116" s="231"/>
      <c r="D116" s="231"/>
      <c r="E116" s="232"/>
    </row>
  </sheetData>
  <mergeCells count="101">
    <mergeCell ref="A79:C79"/>
    <mergeCell ref="A80:D80"/>
    <mergeCell ref="B81:D81"/>
    <mergeCell ref="A75:E75"/>
    <mergeCell ref="B73:C73"/>
    <mergeCell ref="B77:C77"/>
    <mergeCell ref="B78:C78"/>
    <mergeCell ref="A51:D51"/>
    <mergeCell ref="B67:C67"/>
    <mergeCell ref="B68:C68"/>
    <mergeCell ref="B69:C69"/>
    <mergeCell ref="A61:E61"/>
    <mergeCell ref="A52:E52"/>
    <mergeCell ref="B58:C58"/>
    <mergeCell ref="B59:C59"/>
    <mergeCell ref="B64:C64"/>
    <mergeCell ref="B65:C65"/>
    <mergeCell ref="B66:C66"/>
    <mergeCell ref="B63:D63"/>
    <mergeCell ref="A60:C60"/>
    <mergeCell ref="C20:D20"/>
    <mergeCell ref="A15:E15"/>
    <mergeCell ref="A8:E8"/>
    <mergeCell ref="A9:E9"/>
    <mergeCell ref="A10:D10"/>
    <mergeCell ref="C11:E11"/>
    <mergeCell ref="C13:E13"/>
    <mergeCell ref="C14:E14"/>
    <mergeCell ref="B110:D110"/>
    <mergeCell ref="A102:D102"/>
    <mergeCell ref="A103:D103"/>
    <mergeCell ref="B104:D104"/>
    <mergeCell ref="B105:D105"/>
    <mergeCell ref="B106:D106"/>
    <mergeCell ref="B107:D107"/>
    <mergeCell ref="B108:D108"/>
    <mergeCell ref="A109:D109"/>
    <mergeCell ref="C91:D91"/>
    <mergeCell ref="C92:D92"/>
    <mergeCell ref="A93:A100"/>
    <mergeCell ref="B93:C93"/>
    <mergeCell ref="B82:D82"/>
    <mergeCell ref="B83:D83"/>
    <mergeCell ref="B84:D84"/>
    <mergeCell ref="A1:E1"/>
    <mergeCell ref="A2:E2"/>
    <mergeCell ref="C3:E3"/>
    <mergeCell ref="C4:E4"/>
    <mergeCell ref="C5:E5"/>
    <mergeCell ref="C6:E6"/>
    <mergeCell ref="A7:E7"/>
    <mergeCell ref="B16:D16"/>
    <mergeCell ref="C17:D17"/>
    <mergeCell ref="C21:D21"/>
    <mergeCell ref="C22:D22"/>
    <mergeCell ref="B41:C41"/>
    <mergeCell ref="B40:D40"/>
    <mergeCell ref="B42:C42"/>
    <mergeCell ref="A23:D23"/>
    <mergeCell ref="B34:C34"/>
    <mergeCell ref="B35:C35"/>
    <mergeCell ref="B36:C36"/>
    <mergeCell ref="B37:C37"/>
    <mergeCell ref="B38:C38"/>
    <mergeCell ref="A24:E24"/>
    <mergeCell ref="B31:C31"/>
    <mergeCell ref="B32:C32"/>
    <mergeCell ref="B33:C33"/>
    <mergeCell ref="B45:C45"/>
    <mergeCell ref="B25:D25"/>
    <mergeCell ref="A28:C28"/>
    <mergeCell ref="A29:E29"/>
    <mergeCell ref="B30:D30"/>
    <mergeCell ref="A39:C39"/>
    <mergeCell ref="A46:D46"/>
    <mergeCell ref="B43:C43"/>
    <mergeCell ref="B44:C44"/>
    <mergeCell ref="A113:E116"/>
    <mergeCell ref="A47:E47"/>
    <mergeCell ref="A62:E62"/>
    <mergeCell ref="A70:C70"/>
    <mergeCell ref="A71:D71"/>
    <mergeCell ref="B72:D72"/>
    <mergeCell ref="B53:D53"/>
    <mergeCell ref="B48:D48"/>
    <mergeCell ref="B49:D49"/>
    <mergeCell ref="B50:D50"/>
    <mergeCell ref="B55:C55"/>
    <mergeCell ref="B56:C56"/>
    <mergeCell ref="B57:C57"/>
    <mergeCell ref="A54:E54"/>
    <mergeCell ref="A111:D111"/>
    <mergeCell ref="B85:D85"/>
    <mergeCell ref="A86:D86"/>
    <mergeCell ref="A87:B87"/>
    <mergeCell ref="C87:D87"/>
    <mergeCell ref="A89:D89"/>
    <mergeCell ref="B90:D90"/>
    <mergeCell ref="A88:D88"/>
    <mergeCell ref="A74:C74"/>
    <mergeCell ref="B76:D76"/>
  </mergeCells>
  <hyperlinks>
    <hyperlink ref="B38" r:id="rId1" xr:uid="{00000000-0004-0000-0400-000000000000}"/>
  </hyperlinks>
  <pageMargins left="0.511811024" right="0.511811024" top="0.78740157499999996" bottom="0.78740157499999996" header="0.31496062000000002" footer="0.31496062000000002"/>
  <pageSetup paperSize="9" scale="39" orientation="portrait" r:id="rId2"/>
  <rowBreaks count="1" manualBreakCount="1">
    <brk id="46" max="4" man="1"/>
  </rowBreaks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86C478-CA1F-4323-85AC-D4F7FBF837B8}">
  <sheetPr>
    <pageSetUpPr fitToPage="1"/>
  </sheetPr>
  <dimension ref="A1:K116"/>
  <sheetViews>
    <sheetView showGridLines="0" view="pageBreakPreview" topLeftCell="A90" zoomScaleNormal="100" zoomScaleSheetLayoutView="100" workbookViewId="0">
      <selection activeCell="E111" sqref="E111"/>
    </sheetView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1.85546875" customWidth="1"/>
    <col min="5" max="5" width="22.140625" customWidth="1"/>
    <col min="6" max="10" width="8.7109375" customWidth="1"/>
    <col min="11" max="11" width="11.140625" customWidth="1"/>
    <col min="12" max="26" width="8.7109375" customWidth="1"/>
  </cols>
  <sheetData>
    <row r="1" spans="1:6" ht="15.75" thickBot="1" x14ac:dyDescent="0.3">
      <c r="A1" s="279" t="s">
        <v>366</v>
      </c>
      <c r="B1" s="280"/>
      <c r="C1" s="280"/>
      <c r="D1" s="280"/>
      <c r="E1" s="281"/>
    </row>
    <row r="2" spans="1:6" x14ac:dyDescent="0.25">
      <c r="A2" s="282" t="s">
        <v>143</v>
      </c>
      <c r="B2" s="283"/>
      <c r="C2" s="283"/>
      <c r="D2" s="283"/>
      <c r="E2" s="284"/>
    </row>
    <row r="3" spans="1:6" x14ac:dyDescent="0.25">
      <c r="A3" s="16" t="s">
        <v>29</v>
      </c>
      <c r="B3" s="22" t="s">
        <v>30</v>
      </c>
      <c r="C3" s="285"/>
      <c r="D3" s="237"/>
      <c r="E3" s="238"/>
    </row>
    <row r="4" spans="1:6" x14ac:dyDescent="0.25">
      <c r="A4" s="16" t="s">
        <v>31</v>
      </c>
      <c r="B4" s="22" t="s">
        <v>1</v>
      </c>
      <c r="C4" s="286" t="s">
        <v>32</v>
      </c>
      <c r="D4" s="237"/>
      <c r="E4" s="238"/>
      <c r="F4" s="17"/>
    </row>
    <row r="5" spans="1:6" ht="25.5" x14ac:dyDescent="0.25">
      <c r="A5" s="16" t="s">
        <v>33</v>
      </c>
      <c r="B5" s="22" t="s">
        <v>34</v>
      </c>
      <c r="C5" s="286" t="str">
        <f>DADOS!C15</f>
        <v>RO000003/2025</v>
      </c>
      <c r="D5" s="237"/>
      <c r="E5" s="238"/>
    </row>
    <row r="6" spans="1:6" x14ac:dyDescent="0.25">
      <c r="A6" s="16" t="s">
        <v>35</v>
      </c>
      <c r="B6" s="22" t="s">
        <v>36</v>
      </c>
      <c r="C6" s="286">
        <v>12</v>
      </c>
      <c r="D6" s="237"/>
      <c r="E6" s="238"/>
    </row>
    <row r="7" spans="1:6" x14ac:dyDescent="0.25">
      <c r="A7" s="287" t="s">
        <v>37</v>
      </c>
      <c r="B7" s="237"/>
      <c r="C7" s="237"/>
      <c r="D7" s="237"/>
      <c r="E7" s="238"/>
      <c r="F7" s="18"/>
    </row>
    <row r="8" spans="1:6" x14ac:dyDescent="0.25">
      <c r="A8" s="290" t="s">
        <v>38</v>
      </c>
      <c r="B8" s="291"/>
      <c r="C8" s="291"/>
      <c r="D8" s="291"/>
      <c r="E8" s="292"/>
      <c r="F8" s="19"/>
    </row>
    <row r="9" spans="1:6" x14ac:dyDescent="0.25">
      <c r="A9" s="263" t="s">
        <v>39</v>
      </c>
      <c r="B9" s="293"/>
      <c r="C9" s="293"/>
      <c r="D9" s="293"/>
      <c r="E9" s="294"/>
      <c r="F9" s="18"/>
    </row>
    <row r="10" spans="1:6" x14ac:dyDescent="0.25">
      <c r="A10" s="295" t="s">
        <v>40</v>
      </c>
      <c r="B10" s="237"/>
      <c r="C10" s="237"/>
      <c r="D10" s="243"/>
      <c r="E10" s="20" t="s">
        <v>41</v>
      </c>
      <c r="F10" s="19"/>
    </row>
    <row r="11" spans="1:6" ht="27.75" customHeight="1" x14ac:dyDescent="0.25">
      <c r="A11" s="16">
        <v>1</v>
      </c>
      <c r="B11" s="21" t="s">
        <v>42</v>
      </c>
      <c r="C11" s="296" t="s">
        <v>43</v>
      </c>
      <c r="D11" s="237"/>
      <c r="E11" s="238"/>
      <c r="F11" s="19"/>
    </row>
    <row r="12" spans="1:6" x14ac:dyDescent="0.25">
      <c r="A12" s="16">
        <v>2</v>
      </c>
      <c r="B12" s="22" t="s">
        <v>44</v>
      </c>
      <c r="C12" s="23"/>
      <c r="D12" s="24"/>
      <c r="E12" s="25">
        <f>DADOS!C19</f>
        <v>1743.48</v>
      </c>
      <c r="F12" s="19"/>
    </row>
    <row r="13" spans="1:6" ht="25.5" x14ac:dyDescent="0.25">
      <c r="A13" s="16">
        <v>3</v>
      </c>
      <c r="B13" s="22" t="s">
        <v>45</v>
      </c>
      <c r="C13" s="296" t="s">
        <v>365</v>
      </c>
      <c r="D13" s="297"/>
      <c r="E13" s="298"/>
      <c r="F13" s="19"/>
    </row>
    <row r="14" spans="1:6" x14ac:dyDescent="0.25">
      <c r="A14" s="16">
        <v>4</v>
      </c>
      <c r="B14" s="26" t="s">
        <v>46</v>
      </c>
      <c r="C14" s="299" t="str">
        <f>DADOS!C14</f>
        <v>01/01/2025 A 31/12/2025</v>
      </c>
      <c r="D14" s="237"/>
      <c r="E14" s="238"/>
      <c r="F14" s="19"/>
    </row>
    <row r="15" spans="1:6" x14ac:dyDescent="0.25">
      <c r="A15" s="276" t="s">
        <v>47</v>
      </c>
      <c r="B15" s="277"/>
      <c r="C15" s="277"/>
      <c r="D15" s="277"/>
      <c r="E15" s="278"/>
      <c r="F15" s="19"/>
    </row>
    <row r="16" spans="1:6" x14ac:dyDescent="0.25">
      <c r="A16" s="28">
        <v>1</v>
      </c>
      <c r="B16" s="244" t="s">
        <v>48</v>
      </c>
      <c r="C16" s="237"/>
      <c r="D16" s="243"/>
      <c r="E16" s="29" t="s">
        <v>41</v>
      </c>
      <c r="F16" s="19"/>
    </row>
    <row r="17" spans="1:6" x14ac:dyDescent="0.25">
      <c r="A17" s="30" t="s">
        <v>29</v>
      </c>
      <c r="B17" s="31" t="s">
        <v>49</v>
      </c>
      <c r="C17" s="288"/>
      <c r="D17" s="243"/>
      <c r="E17" s="32">
        <f>+E12</f>
        <v>1743.48</v>
      </c>
      <c r="F17" s="19"/>
    </row>
    <row r="18" spans="1:6" x14ac:dyDescent="0.25">
      <c r="A18" s="30" t="s">
        <v>31</v>
      </c>
      <c r="B18" s="31" t="s">
        <v>50</v>
      </c>
      <c r="C18" s="33">
        <v>0</v>
      </c>
      <c r="D18" s="74">
        <f>E17</f>
        <v>1743.48</v>
      </c>
      <c r="E18" s="27">
        <f>E17*C18</f>
        <v>0</v>
      </c>
      <c r="F18" s="19"/>
    </row>
    <row r="19" spans="1:6" x14ac:dyDescent="0.25">
      <c r="A19" s="30" t="s">
        <v>33</v>
      </c>
      <c r="B19" s="34" t="s">
        <v>51</v>
      </c>
      <c r="C19" s="33">
        <v>0.4</v>
      </c>
      <c r="D19" s="74">
        <f>DADOS!C18</f>
        <v>1518</v>
      </c>
      <c r="E19" s="27">
        <f>D19*C19</f>
        <v>607.20000000000005</v>
      </c>
      <c r="F19" s="19"/>
    </row>
    <row r="20" spans="1:6" x14ac:dyDescent="0.25">
      <c r="A20" s="30" t="s">
        <v>35</v>
      </c>
      <c r="B20" s="31" t="s">
        <v>52</v>
      </c>
      <c r="C20" s="272">
        <v>0</v>
      </c>
      <c r="D20" s="289"/>
      <c r="E20" s="27">
        <f>(E17+E18+E19)*C20*(7/12)</f>
        <v>0</v>
      </c>
      <c r="F20" s="19"/>
    </row>
    <row r="21" spans="1:6" ht="24" customHeight="1" x14ac:dyDescent="0.25">
      <c r="A21" s="30" t="s">
        <v>53</v>
      </c>
      <c r="B21" s="31" t="s">
        <v>54</v>
      </c>
      <c r="C21" s="272"/>
      <c r="D21" s="243"/>
      <c r="E21" s="27">
        <f>(E17+E18+E19)*(1/12)*(1+C20)*0</f>
        <v>0</v>
      </c>
      <c r="F21" s="19"/>
    </row>
    <row r="22" spans="1:6" ht="15.75" customHeight="1" x14ac:dyDescent="0.25">
      <c r="A22" s="30" t="s">
        <v>55</v>
      </c>
      <c r="B22" s="35" t="s">
        <v>56</v>
      </c>
      <c r="C22" s="273"/>
      <c r="D22" s="243"/>
      <c r="E22" s="27">
        <v>0</v>
      </c>
      <c r="F22" s="19"/>
    </row>
    <row r="23" spans="1:6" ht="15.75" customHeight="1" x14ac:dyDescent="0.25">
      <c r="A23" s="239" t="s">
        <v>57</v>
      </c>
      <c r="B23" s="240"/>
      <c r="C23" s="240"/>
      <c r="D23" s="241"/>
      <c r="E23" s="77">
        <f>SUM(E17:E22)</f>
        <v>2350.6800000000003</v>
      </c>
      <c r="F23" s="19"/>
    </row>
    <row r="24" spans="1:6" ht="15.75" customHeight="1" x14ac:dyDescent="0.25">
      <c r="A24" s="276" t="s">
        <v>58</v>
      </c>
      <c r="B24" s="277"/>
      <c r="C24" s="277"/>
      <c r="D24" s="277"/>
      <c r="E24" s="278"/>
      <c r="F24" s="18"/>
    </row>
    <row r="25" spans="1:6" ht="15.75" customHeight="1" x14ac:dyDescent="0.25">
      <c r="A25" s="28" t="s">
        <v>59</v>
      </c>
      <c r="B25" s="244" t="s">
        <v>60</v>
      </c>
      <c r="C25" s="237"/>
      <c r="D25" s="243"/>
      <c r="E25" s="29" t="s">
        <v>41</v>
      </c>
      <c r="F25" s="19"/>
    </row>
    <row r="26" spans="1:6" ht="15.75" customHeight="1" x14ac:dyDescent="0.25">
      <c r="A26" s="30" t="s">
        <v>29</v>
      </c>
      <c r="B26" s="37" t="s">
        <v>61</v>
      </c>
      <c r="C26" s="26"/>
      <c r="D26" s="38">
        <f>1/12</f>
        <v>8.3333333333333329E-2</v>
      </c>
      <c r="E26" s="27">
        <f>($E$23*D26)</f>
        <v>195.89000000000001</v>
      </c>
      <c r="F26" s="19"/>
    </row>
    <row r="27" spans="1:6" ht="15.75" customHeight="1" x14ac:dyDescent="0.25">
      <c r="A27" s="30" t="s">
        <v>31</v>
      </c>
      <c r="B27" s="37" t="s">
        <v>62</v>
      </c>
      <c r="C27" s="26"/>
      <c r="D27" s="38">
        <v>0.1111</v>
      </c>
      <c r="E27" s="27">
        <f>($E$23*D27)</f>
        <v>261.16054800000006</v>
      </c>
      <c r="F27" s="19"/>
    </row>
    <row r="28" spans="1:6" ht="15.75" customHeight="1" x14ac:dyDescent="0.25">
      <c r="A28" s="239" t="s">
        <v>28</v>
      </c>
      <c r="B28" s="240"/>
      <c r="C28" s="241"/>
      <c r="D28" s="78">
        <f>SUM(D26:D27)</f>
        <v>0.19443333333333335</v>
      </c>
      <c r="E28" s="77">
        <f>SUM(E26:E27)</f>
        <v>457.05054800000005</v>
      </c>
      <c r="F28" s="19"/>
    </row>
    <row r="29" spans="1:6" ht="26.25" customHeight="1" x14ac:dyDescent="0.25">
      <c r="A29" s="253" t="s">
        <v>63</v>
      </c>
      <c r="B29" s="237"/>
      <c r="C29" s="237"/>
      <c r="D29" s="237"/>
      <c r="E29" s="238"/>
      <c r="F29" s="19"/>
    </row>
    <row r="30" spans="1:6" ht="15.75" customHeight="1" x14ac:dyDescent="0.25">
      <c r="A30" s="28" t="s">
        <v>64</v>
      </c>
      <c r="B30" s="244" t="s">
        <v>65</v>
      </c>
      <c r="C30" s="237"/>
      <c r="D30" s="243"/>
      <c r="E30" s="29" t="s">
        <v>41</v>
      </c>
      <c r="F30" s="19"/>
    </row>
    <row r="31" spans="1:6" ht="15.75" customHeight="1" x14ac:dyDescent="0.25">
      <c r="A31" s="30" t="s">
        <v>29</v>
      </c>
      <c r="B31" s="251" t="s">
        <v>66</v>
      </c>
      <c r="C31" s="252"/>
      <c r="D31" s="38">
        <v>0.2</v>
      </c>
      <c r="E31" s="27">
        <f>(E23+E28)*D31</f>
        <v>561.54610960000014</v>
      </c>
      <c r="F31" s="19"/>
    </row>
    <row r="32" spans="1:6" ht="15.75" customHeight="1" x14ac:dyDescent="0.25">
      <c r="A32" s="30" t="s">
        <v>31</v>
      </c>
      <c r="B32" s="251" t="s">
        <v>67</v>
      </c>
      <c r="C32" s="252"/>
      <c r="D32" s="38">
        <v>1.4999999999999999E-2</v>
      </c>
      <c r="E32" s="27">
        <f>(E23+E28)*D32</f>
        <v>42.115958220000003</v>
      </c>
      <c r="F32" s="19"/>
    </row>
    <row r="33" spans="1:6" ht="15.75" customHeight="1" x14ac:dyDescent="0.25">
      <c r="A33" s="30" t="s">
        <v>33</v>
      </c>
      <c r="B33" s="251" t="s">
        <v>138</v>
      </c>
      <c r="C33" s="252"/>
      <c r="D33" s="38">
        <v>0.01</v>
      </c>
      <c r="E33" s="27">
        <f>(E23+E28)*D33</f>
        <v>28.077305480000007</v>
      </c>
      <c r="F33" s="19"/>
    </row>
    <row r="34" spans="1:6" ht="15.75" customHeight="1" x14ac:dyDescent="0.25">
      <c r="A34" s="30" t="s">
        <v>35</v>
      </c>
      <c r="B34" s="251" t="s">
        <v>68</v>
      </c>
      <c r="C34" s="252"/>
      <c r="D34" s="38">
        <v>2E-3</v>
      </c>
      <c r="E34" s="27">
        <f>(E23+E28)*D34</f>
        <v>5.6154610960000007</v>
      </c>
      <c r="F34" s="19"/>
    </row>
    <row r="35" spans="1:6" ht="15.75" customHeight="1" x14ac:dyDescent="0.25">
      <c r="A35" s="30" t="s">
        <v>53</v>
      </c>
      <c r="B35" s="251" t="s">
        <v>139</v>
      </c>
      <c r="C35" s="252"/>
      <c r="D35" s="38">
        <v>2.5000000000000001E-2</v>
      </c>
      <c r="E35" s="27">
        <f>(E23+E28)*D35</f>
        <v>70.193263700000017</v>
      </c>
      <c r="F35" s="19"/>
    </row>
    <row r="36" spans="1:6" ht="15.75" customHeight="1" x14ac:dyDescent="0.25">
      <c r="A36" s="30" t="s">
        <v>55</v>
      </c>
      <c r="B36" s="251" t="s">
        <v>69</v>
      </c>
      <c r="C36" s="252"/>
      <c r="D36" s="38">
        <v>0.08</v>
      </c>
      <c r="E36" s="27">
        <f>(E23+E28)*D36</f>
        <v>224.61844384000005</v>
      </c>
      <c r="F36" s="19"/>
    </row>
    <row r="37" spans="1:6" ht="15.75" customHeight="1" x14ac:dyDescent="0.25">
      <c r="A37" s="30" t="s">
        <v>70</v>
      </c>
      <c r="B37" s="251" t="s">
        <v>71</v>
      </c>
      <c r="C37" s="252"/>
      <c r="D37" s="38">
        <v>0.03</v>
      </c>
      <c r="E37" s="27">
        <f>(E23+E28)*D37</f>
        <v>84.231916440000006</v>
      </c>
      <c r="F37" s="19"/>
    </row>
    <row r="38" spans="1:6" ht="15.75" customHeight="1" x14ac:dyDescent="0.25">
      <c r="A38" s="40" t="s">
        <v>72</v>
      </c>
      <c r="B38" s="274" t="s">
        <v>73</v>
      </c>
      <c r="C38" s="275"/>
      <c r="D38" s="41">
        <v>6.0000000000000001E-3</v>
      </c>
      <c r="E38" s="36">
        <f>(E23+E28)*D38</f>
        <v>16.846383288000002</v>
      </c>
      <c r="F38" s="18"/>
    </row>
    <row r="39" spans="1:6" ht="15.75" customHeight="1" x14ac:dyDescent="0.25">
      <c r="A39" s="239" t="s">
        <v>28</v>
      </c>
      <c r="B39" s="240"/>
      <c r="C39" s="241"/>
      <c r="D39" s="78">
        <f t="shared" ref="D39" si="0">SUM(D31:D38)</f>
        <v>0.3680000000000001</v>
      </c>
      <c r="E39" s="77">
        <f>SUM(E31:E38)</f>
        <v>1033.2448416640002</v>
      </c>
      <c r="F39" s="19"/>
    </row>
    <row r="40" spans="1:6" ht="15.75" customHeight="1" x14ac:dyDescent="0.25">
      <c r="A40" s="28" t="s">
        <v>74</v>
      </c>
      <c r="B40" s="244" t="s">
        <v>75</v>
      </c>
      <c r="C40" s="237"/>
      <c r="D40" s="243"/>
      <c r="E40" s="29" t="s">
        <v>41</v>
      </c>
      <c r="F40" s="19"/>
    </row>
    <row r="41" spans="1:6" ht="15.75" customHeight="1" x14ac:dyDescent="0.25">
      <c r="A41" s="30" t="s">
        <v>29</v>
      </c>
      <c r="B41" s="271" t="s">
        <v>371</v>
      </c>
      <c r="C41" s="243"/>
      <c r="D41" s="42">
        <f>DADOS!C21</f>
        <v>3</v>
      </c>
      <c r="E41" s="32">
        <f>(66*D41)-(E12*0.06)</f>
        <v>93.391199999999998</v>
      </c>
      <c r="F41" s="19"/>
    </row>
    <row r="42" spans="1:6" ht="15.75" customHeight="1" x14ac:dyDescent="0.25">
      <c r="A42" s="30" t="s">
        <v>31</v>
      </c>
      <c r="B42" s="271" t="s">
        <v>77</v>
      </c>
      <c r="C42" s="243"/>
      <c r="D42" s="43">
        <f>DADOS!C20</f>
        <v>626.94000000000005</v>
      </c>
      <c r="E42" s="32">
        <f>(D42)-(D42*0.99%)</f>
        <v>620.733294</v>
      </c>
      <c r="F42" s="19"/>
    </row>
    <row r="43" spans="1:6" ht="15.75" customHeight="1" x14ac:dyDescent="0.25">
      <c r="A43" s="30" t="s">
        <v>33</v>
      </c>
      <c r="B43" s="271" t="s">
        <v>78</v>
      </c>
      <c r="C43" s="243"/>
      <c r="D43" s="44"/>
      <c r="E43" s="32">
        <v>0</v>
      </c>
      <c r="F43" s="19"/>
    </row>
    <row r="44" spans="1:6" ht="15.75" customHeight="1" x14ac:dyDescent="0.25">
      <c r="A44" s="30" t="s">
        <v>35</v>
      </c>
      <c r="B44" s="271" t="s">
        <v>79</v>
      </c>
      <c r="C44" s="243"/>
      <c r="D44" s="45">
        <v>0.5</v>
      </c>
      <c r="E44" s="27">
        <f>(((E12*50%)*0.0199)*2)/12</f>
        <v>2.8912710000000001</v>
      </c>
      <c r="F44" s="19"/>
    </row>
    <row r="45" spans="1:6" ht="15.75" customHeight="1" x14ac:dyDescent="0.25">
      <c r="A45" s="70" t="s">
        <v>53</v>
      </c>
      <c r="B45" s="268" t="s">
        <v>80</v>
      </c>
      <c r="C45" s="261"/>
      <c r="D45" s="71">
        <f>DADOS!C23</f>
        <v>37425.03</v>
      </c>
      <c r="E45" s="60">
        <v>20.93</v>
      </c>
      <c r="F45" s="19"/>
    </row>
    <row r="46" spans="1:6" ht="15.75" customHeight="1" x14ac:dyDescent="0.25">
      <c r="A46" s="269" t="s">
        <v>81</v>
      </c>
      <c r="B46" s="270"/>
      <c r="C46" s="270"/>
      <c r="D46" s="270"/>
      <c r="E46" s="79">
        <f>SUM(E41:E45)</f>
        <v>737.94576499999994</v>
      </c>
      <c r="F46" s="19"/>
    </row>
    <row r="47" spans="1:6" ht="15.75" customHeight="1" x14ac:dyDescent="0.25">
      <c r="A47" s="233" t="s">
        <v>82</v>
      </c>
      <c r="B47" s="234"/>
      <c r="C47" s="234"/>
      <c r="D47" s="234"/>
      <c r="E47" s="235"/>
      <c r="F47" s="19"/>
    </row>
    <row r="48" spans="1:6" ht="15.75" customHeight="1" x14ac:dyDescent="0.25">
      <c r="A48" s="28" t="s">
        <v>59</v>
      </c>
      <c r="B48" s="245" t="s">
        <v>83</v>
      </c>
      <c r="C48" s="246"/>
      <c r="D48" s="247"/>
      <c r="E48" s="29">
        <f>E28</f>
        <v>457.05054800000005</v>
      </c>
      <c r="F48" s="19"/>
    </row>
    <row r="49" spans="1:11" ht="15.75" customHeight="1" x14ac:dyDescent="0.25">
      <c r="A49" s="28" t="s">
        <v>64</v>
      </c>
      <c r="B49" s="248" t="s">
        <v>84</v>
      </c>
      <c r="C49" s="249"/>
      <c r="D49" s="250"/>
      <c r="E49" s="27">
        <f>E39</f>
        <v>1033.2448416640002</v>
      </c>
      <c r="F49" s="19"/>
      <c r="G49" s="19"/>
    </row>
    <row r="50" spans="1:11" ht="15.75" customHeight="1" x14ac:dyDescent="0.25">
      <c r="A50" s="28" t="s">
        <v>74</v>
      </c>
      <c r="B50" s="248" t="s">
        <v>85</v>
      </c>
      <c r="C50" s="249"/>
      <c r="D50" s="250"/>
      <c r="E50" s="27">
        <f>E46</f>
        <v>737.94576499999994</v>
      </c>
      <c r="F50" s="19"/>
      <c r="G50" s="19"/>
    </row>
    <row r="51" spans="1:11" ht="15.75" customHeight="1" x14ac:dyDescent="0.25">
      <c r="A51" s="257" t="s">
        <v>28</v>
      </c>
      <c r="B51" s="258"/>
      <c r="C51" s="258"/>
      <c r="D51" s="259"/>
      <c r="E51" s="77">
        <f>SUM(E48:E50)</f>
        <v>2228.2411546640001</v>
      </c>
      <c r="F51" s="19"/>
      <c r="G51" s="19"/>
    </row>
    <row r="52" spans="1:11" ht="15.75" customHeight="1" x14ac:dyDescent="0.25">
      <c r="A52" s="276" t="s">
        <v>86</v>
      </c>
      <c r="B52" s="277"/>
      <c r="C52" s="277"/>
      <c r="D52" s="277"/>
      <c r="E52" s="278"/>
      <c r="F52" s="19"/>
      <c r="G52" s="19"/>
    </row>
    <row r="53" spans="1:11" ht="15.75" customHeight="1" x14ac:dyDescent="0.25">
      <c r="A53" s="28" t="s">
        <v>87</v>
      </c>
      <c r="B53" s="244" t="s">
        <v>88</v>
      </c>
      <c r="C53" s="237"/>
      <c r="D53" s="243"/>
      <c r="E53" s="29" t="s">
        <v>41</v>
      </c>
      <c r="F53" s="19"/>
      <c r="G53" s="19"/>
    </row>
    <row r="54" spans="1:11" ht="21.75" customHeight="1" x14ac:dyDescent="0.25">
      <c r="A54" s="253" t="s">
        <v>147</v>
      </c>
      <c r="B54" s="237"/>
      <c r="C54" s="237"/>
      <c r="D54" s="237"/>
      <c r="E54" s="238"/>
      <c r="F54" s="19"/>
      <c r="G54" s="19"/>
    </row>
    <row r="55" spans="1:11" ht="15.75" customHeight="1" x14ac:dyDescent="0.25">
      <c r="A55" s="30" t="s">
        <v>29</v>
      </c>
      <c r="B55" s="248" t="s">
        <v>89</v>
      </c>
      <c r="C55" s="250"/>
      <c r="D55" s="38">
        <f>(1/12)*0.055</f>
        <v>4.5833333333333334E-3</v>
      </c>
      <c r="E55" s="27">
        <f>ROUND(+D55*$E$23,2)</f>
        <v>10.77</v>
      </c>
      <c r="F55" s="19"/>
      <c r="G55" s="19"/>
    </row>
    <row r="56" spans="1:11" ht="15.75" customHeight="1" x14ac:dyDescent="0.25">
      <c r="A56" s="30" t="s">
        <v>31</v>
      </c>
      <c r="B56" s="248" t="s">
        <v>90</v>
      </c>
      <c r="C56" s="250"/>
      <c r="D56" s="38">
        <f>D36*D55</f>
        <v>3.6666666666666667E-4</v>
      </c>
      <c r="E56" s="27">
        <f t="shared" ref="E56:E57" si="1">ROUND(+D56*$E$23,2)</f>
        <v>0.86</v>
      </c>
      <c r="F56" s="19"/>
      <c r="G56" s="19"/>
      <c r="K56" s="1"/>
    </row>
    <row r="57" spans="1:11" ht="15.75" customHeight="1" x14ac:dyDescent="0.25">
      <c r="A57" s="30" t="s">
        <v>35</v>
      </c>
      <c r="B57" s="251" t="s">
        <v>91</v>
      </c>
      <c r="C57" s="252"/>
      <c r="D57" s="38">
        <v>1.9400000000000001E-2</v>
      </c>
      <c r="E57" s="27">
        <f t="shared" si="1"/>
        <v>45.6</v>
      </c>
      <c r="F57" s="19"/>
      <c r="G57" s="19"/>
    </row>
    <row r="58" spans="1:11" x14ac:dyDescent="0.25">
      <c r="A58" s="30" t="s">
        <v>53</v>
      </c>
      <c r="B58" s="248" t="s">
        <v>92</v>
      </c>
      <c r="C58" s="250"/>
      <c r="D58" s="38">
        <f>D39*D57</f>
        <v>7.1392000000000027E-3</v>
      </c>
      <c r="E58" s="27">
        <f>D58*E23</f>
        <v>16.78197465600001</v>
      </c>
      <c r="F58" s="19"/>
      <c r="G58" s="19"/>
    </row>
    <row r="59" spans="1:11" x14ac:dyDescent="0.25">
      <c r="A59" s="30" t="s">
        <v>55</v>
      </c>
      <c r="B59" s="248" t="s">
        <v>93</v>
      </c>
      <c r="C59" s="250"/>
      <c r="D59" s="38">
        <v>0.04</v>
      </c>
      <c r="E59" s="27">
        <f>ROUND(+D59*$E$23,2)</f>
        <v>94.03</v>
      </c>
      <c r="F59" s="19"/>
      <c r="G59" s="19"/>
    </row>
    <row r="60" spans="1:11" ht="15.75" customHeight="1" x14ac:dyDescent="0.25">
      <c r="A60" s="239" t="s">
        <v>28</v>
      </c>
      <c r="B60" s="240"/>
      <c r="C60" s="267"/>
      <c r="D60" s="80">
        <f t="shared" ref="D60" si="2">SUM(D55:D59)</f>
        <v>7.1489200000000003E-2</v>
      </c>
      <c r="E60" s="77">
        <f>SUM(E55:E59)</f>
        <v>168.04197465600001</v>
      </c>
      <c r="F60" s="19"/>
      <c r="G60" s="19"/>
    </row>
    <row r="61" spans="1:11" ht="15.75" customHeight="1" x14ac:dyDescent="0.25">
      <c r="A61" s="276" t="s">
        <v>94</v>
      </c>
      <c r="B61" s="277"/>
      <c r="C61" s="277"/>
      <c r="D61" s="277"/>
      <c r="E61" s="278"/>
      <c r="F61" s="19"/>
      <c r="G61" s="19"/>
    </row>
    <row r="62" spans="1:11" ht="21" customHeight="1" x14ac:dyDescent="0.25">
      <c r="A62" s="236" t="s">
        <v>148</v>
      </c>
      <c r="B62" s="237"/>
      <c r="C62" s="237"/>
      <c r="D62" s="237"/>
      <c r="E62" s="238"/>
      <c r="F62" s="19"/>
      <c r="G62" s="19"/>
    </row>
    <row r="63" spans="1:11" ht="15.75" customHeight="1" x14ac:dyDescent="0.25">
      <c r="A63" s="28" t="s">
        <v>13</v>
      </c>
      <c r="B63" s="311" t="s">
        <v>95</v>
      </c>
      <c r="C63" s="237"/>
      <c r="D63" s="243"/>
      <c r="E63" s="29" t="s">
        <v>41</v>
      </c>
      <c r="F63" s="19"/>
      <c r="G63" s="19"/>
    </row>
    <row r="64" spans="1:11" ht="15.75" customHeight="1" x14ac:dyDescent="0.25">
      <c r="A64" s="30" t="s">
        <v>29</v>
      </c>
      <c r="B64" s="248" t="s">
        <v>96</v>
      </c>
      <c r="C64" s="250"/>
      <c r="D64" s="38">
        <f>((1+1/3)/12)/12</f>
        <v>9.2592592592592587E-3</v>
      </c>
      <c r="E64" s="27">
        <f t="shared" ref="E64:E69" si="3">($E$23+$E$51+$E$60+$E$82)*D64</f>
        <v>44.918209530740732</v>
      </c>
      <c r="F64" s="19"/>
      <c r="G64" s="47"/>
      <c r="K64" s="48"/>
    </row>
    <row r="65" spans="1:6" x14ac:dyDescent="0.25">
      <c r="A65" s="30" t="s">
        <v>31</v>
      </c>
      <c r="B65" s="248" t="s">
        <v>97</v>
      </c>
      <c r="C65" s="250"/>
      <c r="D65" s="38">
        <v>1.66E-2</v>
      </c>
      <c r="E65" s="27">
        <f>($E$23+$E$51+$E$60+$E$82)*D65</f>
        <v>80.529366046711999</v>
      </c>
      <c r="F65" s="19"/>
    </row>
    <row r="66" spans="1:6" ht="15.75" customHeight="1" x14ac:dyDescent="0.25">
      <c r="A66" s="30" t="s">
        <v>33</v>
      </c>
      <c r="B66" s="248" t="s">
        <v>98</v>
      </c>
      <c r="C66" s="250"/>
      <c r="D66" s="38">
        <f>(5/30)*(1/12)*3.24%*50%</f>
        <v>2.2500000000000002E-4</v>
      </c>
      <c r="E66" s="27">
        <f t="shared" si="3"/>
        <v>1.091512491597</v>
      </c>
      <c r="F66" s="19"/>
    </row>
    <row r="67" spans="1:6" ht="15.75" customHeight="1" x14ac:dyDescent="0.25">
      <c r="A67" s="30" t="s">
        <v>35</v>
      </c>
      <c r="B67" s="248" t="s">
        <v>99</v>
      </c>
      <c r="C67" s="250"/>
      <c r="D67" s="38">
        <f>(((15/30)/12)*(8%*100%))</f>
        <v>3.3333333333333331E-3</v>
      </c>
      <c r="E67" s="27">
        <f t="shared" si="3"/>
        <v>16.170555431066663</v>
      </c>
      <c r="F67" s="19"/>
    </row>
    <row r="68" spans="1:6" ht="15.75" customHeight="1" x14ac:dyDescent="0.25">
      <c r="A68" s="30" t="s">
        <v>53</v>
      </c>
      <c r="B68" s="248" t="s">
        <v>100</v>
      </c>
      <c r="C68" s="250"/>
      <c r="D68" s="38">
        <f>((1+1/3)/12)*0.03*((4/12))</f>
        <v>1.1111111111111109E-3</v>
      </c>
      <c r="E68" s="27">
        <f t="shared" si="3"/>
        <v>5.3901851436888872</v>
      </c>
      <c r="F68" s="19"/>
    </row>
    <row r="69" spans="1:6" ht="15.75" customHeight="1" x14ac:dyDescent="0.25">
      <c r="A69" s="30" t="s">
        <v>55</v>
      </c>
      <c r="B69" s="248" t="s">
        <v>101</v>
      </c>
      <c r="C69" s="250"/>
      <c r="D69" s="38">
        <v>0</v>
      </c>
      <c r="E69" s="27">
        <f t="shared" si="3"/>
        <v>0</v>
      </c>
      <c r="F69" s="19"/>
    </row>
    <row r="70" spans="1:6" ht="15.75" customHeight="1" x14ac:dyDescent="0.25">
      <c r="A70" s="239" t="s">
        <v>102</v>
      </c>
      <c r="B70" s="240"/>
      <c r="C70" s="241"/>
      <c r="D70" s="80">
        <f t="shared" ref="D70" si="4">SUM(D64:D69)</f>
        <v>3.0528703703703704E-2</v>
      </c>
      <c r="E70" s="77">
        <f>SUM(E64:E69)</f>
        <v>148.0998286438053</v>
      </c>
      <c r="F70" s="19"/>
    </row>
    <row r="71" spans="1:6" ht="15.75" customHeight="1" x14ac:dyDescent="0.25">
      <c r="A71" s="242"/>
      <c r="B71" s="237"/>
      <c r="C71" s="237"/>
      <c r="D71" s="243"/>
      <c r="E71" s="27"/>
      <c r="F71" s="19"/>
    </row>
    <row r="72" spans="1:6" ht="15.75" customHeight="1" x14ac:dyDescent="0.25">
      <c r="A72" s="28" t="s">
        <v>21</v>
      </c>
      <c r="B72" s="244" t="s">
        <v>103</v>
      </c>
      <c r="C72" s="237"/>
      <c r="D72" s="243"/>
      <c r="E72" s="29" t="s">
        <v>41</v>
      </c>
      <c r="F72" s="19"/>
    </row>
    <row r="73" spans="1:6" ht="15.75" customHeight="1" x14ac:dyDescent="0.25">
      <c r="A73" s="30" t="s">
        <v>29</v>
      </c>
      <c r="B73" s="248" t="s">
        <v>104</v>
      </c>
      <c r="C73" s="250"/>
      <c r="D73" s="38">
        <v>0</v>
      </c>
      <c r="E73" s="27">
        <f>ROUND(+$E$24*D73,2)</f>
        <v>0</v>
      </c>
      <c r="F73" s="19"/>
    </row>
    <row r="74" spans="1:6" ht="15.75" customHeight="1" x14ac:dyDescent="0.25">
      <c r="A74" s="239" t="s">
        <v>28</v>
      </c>
      <c r="B74" s="240"/>
      <c r="C74" s="267"/>
      <c r="D74" s="78">
        <f t="shared" ref="D74:E74" si="5">D73</f>
        <v>0</v>
      </c>
      <c r="E74" s="77">
        <f t="shared" si="5"/>
        <v>0</v>
      </c>
      <c r="F74" s="19"/>
    </row>
    <row r="75" spans="1:6" ht="15.75" customHeight="1" x14ac:dyDescent="0.25">
      <c r="A75" s="276" t="s">
        <v>105</v>
      </c>
      <c r="B75" s="277"/>
      <c r="C75" s="277"/>
      <c r="D75" s="277"/>
      <c r="E75" s="278"/>
      <c r="F75" s="19"/>
    </row>
    <row r="76" spans="1:6" ht="15.75" customHeight="1" x14ac:dyDescent="0.25">
      <c r="A76" s="28">
        <v>4</v>
      </c>
      <c r="B76" s="244" t="s">
        <v>106</v>
      </c>
      <c r="C76" s="237"/>
      <c r="D76" s="243"/>
      <c r="E76" s="29" t="s">
        <v>41</v>
      </c>
      <c r="F76" s="19"/>
    </row>
    <row r="77" spans="1:6" ht="15.75" customHeight="1" x14ac:dyDescent="0.25">
      <c r="A77" s="30" t="s">
        <v>13</v>
      </c>
      <c r="B77" s="248" t="s">
        <v>95</v>
      </c>
      <c r="C77" s="250"/>
      <c r="D77" s="38">
        <f t="shared" ref="D77" si="6">D70</f>
        <v>3.0528703703703704E-2</v>
      </c>
      <c r="E77" s="27">
        <f>E70</f>
        <v>148.0998286438053</v>
      </c>
      <c r="F77" s="19"/>
    </row>
    <row r="78" spans="1:6" ht="15.75" customHeight="1" x14ac:dyDescent="0.25">
      <c r="A78" s="30" t="s">
        <v>14</v>
      </c>
      <c r="B78" s="248" t="s">
        <v>103</v>
      </c>
      <c r="C78" s="250"/>
      <c r="D78" s="38">
        <f t="shared" ref="D78:E78" si="7">D74</f>
        <v>0</v>
      </c>
      <c r="E78" s="27">
        <f t="shared" si="7"/>
        <v>0</v>
      </c>
      <c r="F78" s="19"/>
    </row>
    <row r="79" spans="1:6" ht="15.75" customHeight="1" x14ac:dyDescent="0.25">
      <c r="A79" s="239" t="s">
        <v>107</v>
      </c>
      <c r="B79" s="240"/>
      <c r="C79" s="241"/>
      <c r="D79" s="80">
        <f>SUM(D74:D78)</f>
        <v>3.0528703703703704E-2</v>
      </c>
      <c r="E79" s="77">
        <f>SUM(E77+E78)</f>
        <v>148.0998286438053</v>
      </c>
      <c r="F79" s="19"/>
    </row>
    <row r="80" spans="1:6" ht="15.75" customHeight="1" x14ac:dyDescent="0.25">
      <c r="A80" s="242" t="s">
        <v>108</v>
      </c>
      <c r="B80" s="237"/>
      <c r="C80" s="237"/>
      <c r="D80" s="243"/>
      <c r="E80" s="27"/>
      <c r="F80" s="19"/>
    </row>
    <row r="81" spans="1:5" ht="15.75" customHeight="1" x14ac:dyDescent="0.25">
      <c r="A81" s="28">
        <v>5</v>
      </c>
      <c r="B81" s="244" t="s">
        <v>109</v>
      </c>
      <c r="C81" s="237"/>
      <c r="D81" s="243"/>
      <c r="E81" s="29" t="s">
        <v>41</v>
      </c>
    </row>
    <row r="82" spans="1:5" ht="15.75" customHeight="1" x14ac:dyDescent="0.25">
      <c r="A82" s="30" t="s">
        <v>29</v>
      </c>
      <c r="B82" s="248" t="s">
        <v>110</v>
      </c>
      <c r="C82" s="249"/>
      <c r="D82" s="250"/>
      <c r="E82" s="27">
        <f>INSUMOS!I147</f>
        <v>104.20349999999999</v>
      </c>
    </row>
    <row r="83" spans="1:5" ht="15.75" customHeight="1" x14ac:dyDescent="0.25">
      <c r="A83" s="30" t="s">
        <v>31</v>
      </c>
      <c r="B83" s="248" t="s">
        <v>111</v>
      </c>
      <c r="C83" s="249"/>
      <c r="D83" s="250"/>
      <c r="E83" s="27">
        <f>INSUMOS!I146</f>
        <v>427.67758333333342</v>
      </c>
    </row>
    <row r="84" spans="1:5" ht="15.75" customHeight="1" x14ac:dyDescent="0.25">
      <c r="A84" s="30" t="s">
        <v>33</v>
      </c>
      <c r="B84" s="248" t="s">
        <v>112</v>
      </c>
      <c r="C84" s="249"/>
      <c r="D84" s="250"/>
      <c r="E84" s="27">
        <f>INSUMOS!I148</f>
        <v>363.6225</v>
      </c>
    </row>
    <row r="85" spans="1:5" ht="15.75" customHeight="1" x14ac:dyDescent="0.25">
      <c r="A85" s="30" t="s">
        <v>35</v>
      </c>
      <c r="B85" s="248" t="s">
        <v>140</v>
      </c>
      <c r="C85" s="249"/>
      <c r="D85" s="250"/>
      <c r="E85" s="27">
        <v>0</v>
      </c>
    </row>
    <row r="86" spans="1:5" ht="15.75" customHeight="1" x14ac:dyDescent="0.25">
      <c r="A86" s="257" t="s">
        <v>113</v>
      </c>
      <c r="B86" s="258"/>
      <c r="C86" s="258"/>
      <c r="D86" s="259"/>
      <c r="E86" s="77">
        <f>SUM(E82:E85)</f>
        <v>895.50358333333338</v>
      </c>
    </row>
    <row r="87" spans="1:5" ht="15.75" customHeight="1" x14ac:dyDescent="0.25">
      <c r="A87" s="260" t="s">
        <v>114</v>
      </c>
      <c r="B87" s="261"/>
      <c r="C87" s="262" t="s">
        <v>28</v>
      </c>
      <c r="D87" s="261"/>
      <c r="E87" s="60">
        <f>SUM(E23+E51+E60+E79+E86)</f>
        <v>5790.5665412971384</v>
      </c>
    </row>
    <row r="88" spans="1:5" ht="27" customHeight="1" x14ac:dyDescent="0.25">
      <c r="A88" s="266" t="s">
        <v>115</v>
      </c>
      <c r="B88" s="266"/>
      <c r="C88" s="266"/>
      <c r="D88" s="266"/>
      <c r="E88" s="79">
        <f>E87</f>
        <v>5790.5665412971384</v>
      </c>
    </row>
    <row r="89" spans="1:5" ht="15.75" customHeight="1" x14ac:dyDescent="0.25">
      <c r="A89" s="263" t="s">
        <v>116</v>
      </c>
      <c r="B89" s="264"/>
      <c r="C89" s="264"/>
      <c r="D89" s="265"/>
      <c r="E89" s="72"/>
    </row>
    <row r="90" spans="1:5" ht="15.75" customHeight="1" x14ac:dyDescent="0.25">
      <c r="A90" s="28">
        <v>6</v>
      </c>
      <c r="B90" s="244" t="s">
        <v>117</v>
      </c>
      <c r="C90" s="237"/>
      <c r="D90" s="243"/>
      <c r="E90" s="29" t="s">
        <v>41</v>
      </c>
    </row>
    <row r="91" spans="1:5" ht="15.75" customHeight="1" x14ac:dyDescent="0.25">
      <c r="A91" s="28" t="s">
        <v>29</v>
      </c>
      <c r="B91" s="37" t="s">
        <v>118</v>
      </c>
      <c r="C91" s="306">
        <v>0.03</v>
      </c>
      <c r="D91" s="243"/>
      <c r="E91" s="27">
        <f>+E88*C91</f>
        <v>173.71699623891413</v>
      </c>
    </row>
    <row r="92" spans="1:5" ht="15.75" customHeight="1" x14ac:dyDescent="0.25">
      <c r="A92" s="28" t="s">
        <v>31</v>
      </c>
      <c r="B92" s="37" t="s">
        <v>119</v>
      </c>
      <c r="C92" s="306">
        <v>6.7900000000000002E-2</v>
      </c>
      <c r="D92" s="243"/>
      <c r="E92" s="27">
        <f>C92*(+E88+E91)</f>
        <v>404.97485219869799</v>
      </c>
    </row>
    <row r="93" spans="1:5" ht="15" customHeight="1" x14ac:dyDescent="0.25">
      <c r="A93" s="307" t="s">
        <v>33</v>
      </c>
      <c r="B93" s="310" t="s">
        <v>120</v>
      </c>
      <c r="C93" s="243"/>
      <c r="D93" s="49">
        <f>1-D101</f>
        <v>0.85749999999999993</v>
      </c>
      <c r="E93" s="27">
        <f>+E88+E91+E92</f>
        <v>6369.2583897347504</v>
      </c>
    </row>
    <row r="94" spans="1:5" ht="15.75" customHeight="1" x14ac:dyDescent="0.25">
      <c r="A94" s="308"/>
      <c r="B94" s="50" t="s">
        <v>121</v>
      </c>
      <c r="C94" s="46"/>
      <c r="D94" s="46"/>
      <c r="E94" s="32">
        <f>+E93/D93</f>
        <v>7427.7065769501469</v>
      </c>
    </row>
    <row r="95" spans="1:5" ht="15.75" customHeight="1" x14ac:dyDescent="0.25">
      <c r="A95" s="308"/>
      <c r="B95" s="51" t="s">
        <v>122</v>
      </c>
      <c r="C95" s="52"/>
      <c r="D95" s="53"/>
      <c r="E95" s="27"/>
    </row>
    <row r="96" spans="1:5" ht="15.75" customHeight="1" x14ac:dyDescent="0.25">
      <c r="A96" s="308"/>
      <c r="B96" s="76" t="s">
        <v>144</v>
      </c>
      <c r="C96" s="54"/>
      <c r="D96" s="38">
        <v>1.6500000000000001E-2</v>
      </c>
      <c r="E96" s="27">
        <f>+E94*D96</f>
        <v>122.55715851967743</v>
      </c>
    </row>
    <row r="97" spans="1:5" ht="15.75" customHeight="1" x14ac:dyDescent="0.25">
      <c r="A97" s="308"/>
      <c r="B97" s="76" t="s">
        <v>145</v>
      </c>
      <c r="C97" s="54"/>
      <c r="D97" s="38">
        <v>7.5999999999999998E-2</v>
      </c>
      <c r="E97" s="27">
        <f>+E94*D97</f>
        <v>564.50569984821118</v>
      </c>
    </row>
    <row r="98" spans="1:5" ht="15.75" customHeight="1" x14ac:dyDescent="0.25">
      <c r="A98" s="308"/>
      <c r="B98" s="55" t="s">
        <v>123</v>
      </c>
      <c r="C98" s="56"/>
      <c r="D98" s="39"/>
      <c r="E98" s="27"/>
    </row>
    <row r="99" spans="1:5" ht="15.75" customHeight="1" x14ac:dyDescent="0.25">
      <c r="A99" s="308"/>
      <c r="B99" s="55" t="s">
        <v>124</v>
      </c>
      <c r="C99" s="56"/>
      <c r="D99" s="31"/>
      <c r="E99" s="27"/>
    </row>
    <row r="100" spans="1:5" ht="15.75" customHeight="1" thickBot="1" x14ac:dyDescent="0.3">
      <c r="A100" s="309"/>
      <c r="B100" s="57" t="s">
        <v>125</v>
      </c>
      <c r="C100" s="58"/>
      <c r="D100" s="59">
        <v>0.05</v>
      </c>
      <c r="E100" s="60">
        <f>+E94*D100</f>
        <v>371.38532884750737</v>
      </c>
    </row>
    <row r="101" spans="1:5" ht="15.75" customHeight="1" thickBot="1" x14ac:dyDescent="0.3">
      <c r="A101" s="61"/>
      <c r="B101" s="62" t="s">
        <v>126</v>
      </c>
      <c r="C101" s="62"/>
      <c r="D101" s="63">
        <f t="shared" ref="D101:E101" si="8">SUM(D96:D100)</f>
        <v>0.14250000000000002</v>
      </c>
      <c r="E101" s="64">
        <f t="shared" si="8"/>
        <v>1058.448187215396</v>
      </c>
    </row>
    <row r="102" spans="1:5" ht="15.75" customHeight="1" x14ac:dyDescent="0.25">
      <c r="A102" s="301" t="s">
        <v>127</v>
      </c>
      <c r="B102" s="283"/>
      <c r="C102" s="283"/>
      <c r="D102" s="302"/>
      <c r="E102" s="81">
        <f>+E91+E92+E101</f>
        <v>1637.1400356530082</v>
      </c>
    </row>
    <row r="103" spans="1:5" ht="15.75" customHeight="1" x14ac:dyDescent="0.25">
      <c r="A103" s="303" t="s">
        <v>128</v>
      </c>
      <c r="B103" s="240"/>
      <c r="C103" s="240"/>
      <c r="D103" s="241"/>
      <c r="E103" s="73" t="s">
        <v>41</v>
      </c>
    </row>
    <row r="104" spans="1:5" ht="15.75" customHeight="1" x14ac:dyDescent="0.25">
      <c r="A104" s="28" t="s">
        <v>29</v>
      </c>
      <c r="B104" s="244" t="s">
        <v>129</v>
      </c>
      <c r="C104" s="237"/>
      <c r="D104" s="243"/>
      <c r="E104" s="27">
        <f>+E23</f>
        <v>2350.6800000000003</v>
      </c>
    </row>
    <row r="105" spans="1:5" ht="15.75" customHeight="1" x14ac:dyDescent="0.25">
      <c r="A105" s="28" t="s">
        <v>31</v>
      </c>
      <c r="B105" s="244" t="s">
        <v>130</v>
      </c>
      <c r="C105" s="237"/>
      <c r="D105" s="243"/>
      <c r="E105" s="27">
        <f>E51</f>
        <v>2228.2411546640001</v>
      </c>
    </row>
    <row r="106" spans="1:5" ht="15.75" customHeight="1" x14ac:dyDescent="0.25">
      <c r="A106" s="28" t="s">
        <v>33</v>
      </c>
      <c r="B106" s="244" t="s">
        <v>131</v>
      </c>
      <c r="C106" s="237"/>
      <c r="D106" s="243"/>
      <c r="E106" s="27">
        <f>E60</f>
        <v>168.04197465600001</v>
      </c>
    </row>
    <row r="107" spans="1:5" ht="15.75" customHeight="1" x14ac:dyDescent="0.25">
      <c r="A107" s="28" t="s">
        <v>35</v>
      </c>
      <c r="B107" s="244" t="s">
        <v>132</v>
      </c>
      <c r="C107" s="237"/>
      <c r="D107" s="243"/>
      <c r="E107" s="27">
        <f>E79</f>
        <v>148.0998286438053</v>
      </c>
    </row>
    <row r="108" spans="1:5" ht="15.75" customHeight="1" x14ac:dyDescent="0.25">
      <c r="A108" s="28" t="s">
        <v>53</v>
      </c>
      <c r="B108" s="244" t="s">
        <v>133</v>
      </c>
      <c r="C108" s="237"/>
      <c r="D108" s="243"/>
      <c r="E108" s="27">
        <f>E86</f>
        <v>895.50358333333338</v>
      </c>
    </row>
    <row r="109" spans="1:5" ht="15.75" customHeight="1" x14ac:dyDescent="0.25">
      <c r="A109" s="303" t="s">
        <v>134</v>
      </c>
      <c r="B109" s="304"/>
      <c r="C109" s="304"/>
      <c r="D109" s="305"/>
      <c r="E109" s="82">
        <f>SUM(E104:E108)</f>
        <v>5790.5665412971384</v>
      </c>
    </row>
    <row r="110" spans="1:5" ht="15.75" customHeight="1" x14ac:dyDescent="0.25">
      <c r="A110" s="28" t="s">
        <v>55</v>
      </c>
      <c r="B110" s="300" t="s">
        <v>141</v>
      </c>
      <c r="C110" s="237"/>
      <c r="D110" s="243"/>
      <c r="E110" s="27">
        <f>+E102</f>
        <v>1637.1400356530082</v>
      </c>
    </row>
    <row r="111" spans="1:5" ht="15.75" customHeight="1" thickBot="1" x14ac:dyDescent="0.3">
      <c r="A111" s="254" t="s">
        <v>135</v>
      </c>
      <c r="B111" s="255"/>
      <c r="C111" s="255"/>
      <c r="D111" s="256"/>
      <c r="E111" s="83">
        <f>+E109+E110</f>
        <v>7427.7065769501469</v>
      </c>
    </row>
    <row r="112" spans="1:5" ht="15.75" customHeight="1" thickBot="1" x14ac:dyDescent="0.3">
      <c r="A112" s="65"/>
      <c r="B112" s="66"/>
      <c r="C112" s="66"/>
      <c r="D112" s="66"/>
      <c r="E112" s="67"/>
    </row>
    <row r="113" spans="1:5" ht="15.75" customHeight="1" x14ac:dyDescent="0.25">
      <c r="A113" s="224" t="s">
        <v>377</v>
      </c>
      <c r="B113" s="225"/>
      <c r="C113" s="225"/>
      <c r="D113" s="225"/>
      <c r="E113" s="226"/>
    </row>
    <row r="114" spans="1:5" ht="15.75" customHeight="1" x14ac:dyDescent="0.25">
      <c r="A114" s="227"/>
      <c r="B114" s="228"/>
      <c r="C114" s="228"/>
      <c r="D114" s="228"/>
      <c r="E114" s="229"/>
    </row>
    <row r="115" spans="1:5" ht="15" customHeight="1" x14ac:dyDescent="0.25">
      <c r="A115" s="227"/>
      <c r="B115" s="228"/>
      <c r="C115" s="228"/>
      <c r="D115" s="228"/>
      <c r="E115" s="229"/>
    </row>
    <row r="116" spans="1:5" ht="15" customHeight="1" thickBot="1" x14ac:dyDescent="0.3">
      <c r="A116" s="230"/>
      <c r="B116" s="231"/>
      <c r="C116" s="231"/>
      <c r="D116" s="231"/>
      <c r="E116" s="232"/>
    </row>
  </sheetData>
  <mergeCells count="101">
    <mergeCell ref="A1:E1"/>
    <mergeCell ref="A2:E2"/>
    <mergeCell ref="C3:E3"/>
    <mergeCell ref="C4:E4"/>
    <mergeCell ref="C5:E5"/>
    <mergeCell ref="C6:E6"/>
    <mergeCell ref="C14:E14"/>
    <mergeCell ref="A15:E15"/>
    <mergeCell ref="B16:D16"/>
    <mergeCell ref="C17:D17"/>
    <mergeCell ref="C20:D20"/>
    <mergeCell ref="C21:D21"/>
    <mergeCell ref="A7:E7"/>
    <mergeCell ref="A8:E8"/>
    <mergeCell ref="A9:E9"/>
    <mergeCell ref="A10:D10"/>
    <mergeCell ref="C11:E11"/>
    <mergeCell ref="C13:E13"/>
    <mergeCell ref="B30:D30"/>
    <mergeCell ref="B31:C31"/>
    <mergeCell ref="B32:C32"/>
    <mergeCell ref="B33:C33"/>
    <mergeCell ref="B34:C34"/>
    <mergeCell ref="B35:C35"/>
    <mergeCell ref="C22:D22"/>
    <mergeCell ref="A23:D23"/>
    <mergeCell ref="A24:E24"/>
    <mergeCell ref="B25:D25"/>
    <mergeCell ref="A28:C28"/>
    <mergeCell ref="A29:E29"/>
    <mergeCell ref="B42:C42"/>
    <mergeCell ref="B43:C43"/>
    <mergeCell ref="B44:C44"/>
    <mergeCell ref="B45:C45"/>
    <mergeCell ref="A46:D46"/>
    <mergeCell ref="A47:E47"/>
    <mergeCell ref="B36:C36"/>
    <mergeCell ref="B37:C37"/>
    <mergeCell ref="B38:C38"/>
    <mergeCell ref="A39:C39"/>
    <mergeCell ref="B40:D40"/>
    <mergeCell ref="B41:C41"/>
    <mergeCell ref="A54:E54"/>
    <mergeCell ref="B55:C55"/>
    <mergeCell ref="B56:C56"/>
    <mergeCell ref="B57:C57"/>
    <mergeCell ref="B58:C58"/>
    <mergeCell ref="B59:C59"/>
    <mergeCell ref="B48:D48"/>
    <mergeCell ref="B49:D49"/>
    <mergeCell ref="B50:D50"/>
    <mergeCell ref="A51:D51"/>
    <mergeCell ref="A52:E52"/>
    <mergeCell ref="B53:D53"/>
    <mergeCell ref="B66:C66"/>
    <mergeCell ref="B67:C67"/>
    <mergeCell ref="B68:C68"/>
    <mergeCell ref="B69:C69"/>
    <mergeCell ref="A70:C70"/>
    <mergeCell ref="A71:D71"/>
    <mergeCell ref="A60:C60"/>
    <mergeCell ref="A61:E61"/>
    <mergeCell ref="A62:E62"/>
    <mergeCell ref="B63:D63"/>
    <mergeCell ref="B64:C64"/>
    <mergeCell ref="B65:C65"/>
    <mergeCell ref="B78:C78"/>
    <mergeCell ref="A79:C79"/>
    <mergeCell ref="A80:D80"/>
    <mergeCell ref="B81:D81"/>
    <mergeCell ref="B82:D82"/>
    <mergeCell ref="B83:D83"/>
    <mergeCell ref="B72:D72"/>
    <mergeCell ref="B73:C73"/>
    <mergeCell ref="A74:C74"/>
    <mergeCell ref="A75:E75"/>
    <mergeCell ref="B76:D76"/>
    <mergeCell ref="B77:C77"/>
    <mergeCell ref="A89:D89"/>
    <mergeCell ref="B90:D90"/>
    <mergeCell ref="C91:D91"/>
    <mergeCell ref="C92:D92"/>
    <mergeCell ref="A93:A100"/>
    <mergeCell ref="B93:C93"/>
    <mergeCell ref="B84:D84"/>
    <mergeCell ref="B85:D85"/>
    <mergeCell ref="A86:D86"/>
    <mergeCell ref="A87:B87"/>
    <mergeCell ref="C87:D87"/>
    <mergeCell ref="A88:D88"/>
    <mergeCell ref="B108:D108"/>
    <mergeCell ref="A109:D109"/>
    <mergeCell ref="B110:D110"/>
    <mergeCell ref="A111:D111"/>
    <mergeCell ref="A113:E116"/>
    <mergeCell ref="A102:D102"/>
    <mergeCell ref="A103:D103"/>
    <mergeCell ref="B104:D104"/>
    <mergeCell ref="B105:D105"/>
    <mergeCell ref="B106:D106"/>
    <mergeCell ref="B107:D107"/>
  </mergeCells>
  <hyperlinks>
    <hyperlink ref="B38" r:id="rId1" xr:uid="{F6C82BE2-E80C-4360-82AA-461CC82A6AE8}"/>
  </hyperlinks>
  <pageMargins left="0.511811024" right="0.511811024" top="0.78740157499999996" bottom="0.78740157499999996" header="0.31496062000000002" footer="0.31496062000000002"/>
  <pageSetup paperSize="9" scale="39" orientation="portrait" r:id="rId2"/>
  <rowBreaks count="1" manualBreakCount="1">
    <brk id="46" max="4" man="1"/>
  </rowBreaks>
  <colBreaks count="1" manualBreakCount="1">
    <brk id="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14"/>
  <sheetViews>
    <sheetView showGridLines="0" view="pageBreakPreview" zoomScaleNormal="100" zoomScaleSheetLayoutView="100" workbookViewId="0">
      <selection activeCell="L11" sqref="L11"/>
    </sheetView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1.85546875" customWidth="1"/>
    <col min="5" max="5" width="22.140625" customWidth="1"/>
    <col min="6" max="10" width="8.7109375" customWidth="1"/>
    <col min="11" max="11" width="11.140625" customWidth="1"/>
    <col min="12" max="26" width="8.7109375" customWidth="1"/>
  </cols>
  <sheetData>
    <row r="1" spans="1:6" ht="15.75" customHeight="1" thickBot="1" x14ac:dyDescent="0.3">
      <c r="A1" s="279" t="s">
        <v>366</v>
      </c>
      <c r="B1" s="280"/>
      <c r="C1" s="280"/>
      <c r="D1" s="280"/>
      <c r="E1" s="281"/>
    </row>
    <row r="2" spans="1:6" x14ac:dyDescent="0.25">
      <c r="A2" s="282" t="s">
        <v>142</v>
      </c>
      <c r="B2" s="283"/>
      <c r="C2" s="283"/>
      <c r="D2" s="283"/>
      <c r="E2" s="284"/>
    </row>
    <row r="3" spans="1:6" x14ac:dyDescent="0.25">
      <c r="A3" s="16" t="s">
        <v>29</v>
      </c>
      <c r="B3" s="22" t="s">
        <v>30</v>
      </c>
      <c r="C3" s="285"/>
      <c r="D3" s="237"/>
      <c r="E3" s="238"/>
    </row>
    <row r="4" spans="1:6" x14ac:dyDescent="0.25">
      <c r="A4" s="16" t="s">
        <v>31</v>
      </c>
      <c r="B4" s="22" t="s">
        <v>1</v>
      </c>
      <c r="C4" s="286" t="s">
        <v>32</v>
      </c>
      <c r="D4" s="237"/>
      <c r="E4" s="238"/>
      <c r="F4" s="17"/>
    </row>
    <row r="5" spans="1:6" ht="25.5" x14ac:dyDescent="0.25">
      <c r="A5" s="16" t="s">
        <v>33</v>
      </c>
      <c r="B5" s="22" t="s">
        <v>34</v>
      </c>
      <c r="C5" s="286" t="str">
        <f>DADOS!C15</f>
        <v>RO000003/2025</v>
      </c>
      <c r="D5" s="237"/>
      <c r="E5" s="238"/>
    </row>
    <row r="6" spans="1:6" x14ac:dyDescent="0.25">
      <c r="A6" s="16" t="s">
        <v>35</v>
      </c>
      <c r="B6" s="22" t="s">
        <v>36</v>
      </c>
      <c r="C6" s="286">
        <v>12</v>
      </c>
      <c r="D6" s="237"/>
      <c r="E6" s="238"/>
    </row>
    <row r="7" spans="1:6" x14ac:dyDescent="0.25">
      <c r="A7" s="287" t="s">
        <v>37</v>
      </c>
      <c r="B7" s="237"/>
      <c r="C7" s="237"/>
      <c r="D7" s="237"/>
      <c r="E7" s="238"/>
      <c r="F7" s="18"/>
    </row>
    <row r="8" spans="1:6" x14ac:dyDescent="0.25">
      <c r="A8" s="290" t="s">
        <v>38</v>
      </c>
      <c r="B8" s="291"/>
      <c r="C8" s="291"/>
      <c r="D8" s="291"/>
      <c r="E8" s="292"/>
      <c r="F8" s="19"/>
    </row>
    <row r="9" spans="1:6" x14ac:dyDescent="0.25">
      <c r="A9" s="263" t="s">
        <v>39</v>
      </c>
      <c r="B9" s="293"/>
      <c r="C9" s="293"/>
      <c r="D9" s="293"/>
      <c r="E9" s="294"/>
      <c r="F9" s="18"/>
    </row>
    <row r="10" spans="1:6" x14ac:dyDescent="0.25">
      <c r="A10" s="295" t="s">
        <v>40</v>
      </c>
      <c r="B10" s="237"/>
      <c r="C10" s="237"/>
      <c r="D10" s="243"/>
      <c r="E10" s="20" t="s">
        <v>41</v>
      </c>
      <c r="F10" s="19"/>
    </row>
    <row r="11" spans="1:6" ht="27.75" customHeight="1" x14ac:dyDescent="0.25">
      <c r="A11" s="16">
        <v>1</v>
      </c>
      <c r="B11" s="21" t="s">
        <v>42</v>
      </c>
      <c r="C11" s="296" t="s">
        <v>43</v>
      </c>
      <c r="D11" s="237"/>
      <c r="E11" s="238"/>
      <c r="F11" s="19"/>
    </row>
    <row r="12" spans="1:6" x14ac:dyDescent="0.25">
      <c r="A12" s="16">
        <v>2</v>
      </c>
      <c r="B12" s="22" t="s">
        <v>44</v>
      </c>
      <c r="C12" s="23"/>
      <c r="D12" s="24"/>
      <c r="E12" s="25">
        <f>DADOS!C19</f>
        <v>1743.48</v>
      </c>
      <c r="F12" s="19"/>
    </row>
    <row r="13" spans="1:6" ht="25.5" x14ac:dyDescent="0.25">
      <c r="A13" s="16">
        <v>3</v>
      </c>
      <c r="B13" s="22" t="s">
        <v>45</v>
      </c>
      <c r="C13" s="296" t="s">
        <v>365</v>
      </c>
      <c r="D13" s="297"/>
      <c r="E13" s="298"/>
      <c r="F13" s="19"/>
    </row>
    <row r="14" spans="1:6" x14ac:dyDescent="0.25">
      <c r="A14" s="16">
        <v>4</v>
      </c>
      <c r="B14" s="26" t="s">
        <v>46</v>
      </c>
      <c r="C14" s="299" t="str">
        <f>DADOS!C14</f>
        <v>01/01/2025 A 31/12/2025</v>
      </c>
      <c r="D14" s="237"/>
      <c r="E14" s="238"/>
      <c r="F14" s="19"/>
    </row>
    <row r="15" spans="1:6" x14ac:dyDescent="0.25">
      <c r="A15" s="276" t="s">
        <v>47</v>
      </c>
      <c r="B15" s="277"/>
      <c r="C15" s="277"/>
      <c r="D15" s="277"/>
      <c r="E15" s="278"/>
      <c r="F15" s="19"/>
    </row>
    <row r="16" spans="1:6" x14ac:dyDescent="0.25">
      <c r="A16" s="28">
        <v>1</v>
      </c>
      <c r="B16" s="244" t="s">
        <v>48</v>
      </c>
      <c r="C16" s="237"/>
      <c r="D16" s="243"/>
      <c r="E16" s="29" t="s">
        <v>41</v>
      </c>
      <c r="F16" s="19"/>
    </row>
    <row r="17" spans="1:6" x14ac:dyDescent="0.25">
      <c r="A17" s="30" t="s">
        <v>29</v>
      </c>
      <c r="B17" s="31" t="s">
        <v>49</v>
      </c>
      <c r="C17" s="288"/>
      <c r="D17" s="243"/>
      <c r="E17" s="32">
        <f>+E12</f>
        <v>1743.48</v>
      </c>
      <c r="F17" s="19"/>
    </row>
    <row r="18" spans="1:6" x14ac:dyDescent="0.25">
      <c r="A18" s="30" t="s">
        <v>31</v>
      </c>
      <c r="B18" s="31" t="s">
        <v>50</v>
      </c>
      <c r="C18" s="33">
        <v>0</v>
      </c>
      <c r="D18" s="74">
        <f>E17</f>
        <v>1743.48</v>
      </c>
      <c r="E18" s="27">
        <f>E17*C18</f>
        <v>0</v>
      </c>
      <c r="F18" s="19"/>
    </row>
    <row r="19" spans="1:6" x14ac:dyDescent="0.25">
      <c r="A19" s="30" t="s">
        <v>33</v>
      </c>
      <c r="B19" s="34" t="s">
        <v>51</v>
      </c>
      <c r="C19" s="33">
        <v>0</v>
      </c>
      <c r="D19" s="74">
        <f>DADOS!C18</f>
        <v>1518</v>
      </c>
      <c r="E19" s="27">
        <f>D19*C19</f>
        <v>0</v>
      </c>
      <c r="F19" s="19"/>
    </row>
    <row r="20" spans="1:6" x14ac:dyDescent="0.25">
      <c r="A20" s="30" t="s">
        <v>35</v>
      </c>
      <c r="B20" s="31" t="s">
        <v>52</v>
      </c>
      <c r="C20" s="272">
        <v>0</v>
      </c>
      <c r="D20" s="289"/>
      <c r="E20" s="27">
        <f>(E17+E18+E19)*C20*(7/12)</f>
        <v>0</v>
      </c>
      <c r="F20" s="19"/>
    </row>
    <row r="21" spans="1:6" ht="24" customHeight="1" x14ac:dyDescent="0.25">
      <c r="A21" s="30" t="s">
        <v>53</v>
      </c>
      <c r="B21" s="31" t="s">
        <v>54</v>
      </c>
      <c r="C21" s="272"/>
      <c r="D21" s="243"/>
      <c r="E21" s="27">
        <f>(E17+E18+E19)*(1/12)*(1+C20)*0</f>
        <v>0</v>
      </c>
      <c r="F21" s="19"/>
    </row>
    <row r="22" spans="1:6" ht="15.75" customHeight="1" x14ac:dyDescent="0.25">
      <c r="A22" s="30" t="s">
        <v>55</v>
      </c>
      <c r="B22" s="35" t="s">
        <v>56</v>
      </c>
      <c r="C22" s="273"/>
      <c r="D22" s="243"/>
      <c r="E22" s="27">
        <v>0</v>
      </c>
      <c r="F22" s="19"/>
    </row>
    <row r="23" spans="1:6" ht="15.75" customHeight="1" x14ac:dyDescent="0.25">
      <c r="A23" s="239" t="s">
        <v>57</v>
      </c>
      <c r="B23" s="240"/>
      <c r="C23" s="240"/>
      <c r="D23" s="241"/>
      <c r="E23" s="77">
        <f>SUM(E17:E22)</f>
        <v>1743.48</v>
      </c>
      <c r="F23" s="19"/>
    </row>
    <row r="24" spans="1:6" ht="15.75" customHeight="1" x14ac:dyDescent="0.25">
      <c r="A24" s="276" t="s">
        <v>58</v>
      </c>
      <c r="B24" s="277"/>
      <c r="C24" s="277"/>
      <c r="D24" s="277"/>
      <c r="E24" s="278"/>
      <c r="F24" s="18"/>
    </row>
    <row r="25" spans="1:6" ht="15.75" customHeight="1" x14ac:dyDescent="0.25">
      <c r="A25" s="28" t="s">
        <v>59</v>
      </c>
      <c r="B25" s="244" t="s">
        <v>60</v>
      </c>
      <c r="C25" s="237"/>
      <c r="D25" s="243"/>
      <c r="E25" s="29" t="s">
        <v>41</v>
      </c>
      <c r="F25" s="19"/>
    </row>
    <row r="26" spans="1:6" ht="15.75" customHeight="1" x14ac:dyDescent="0.25">
      <c r="A26" s="30" t="s">
        <v>29</v>
      </c>
      <c r="B26" s="37" t="s">
        <v>61</v>
      </c>
      <c r="C26" s="26"/>
      <c r="D26" s="38">
        <f>1/12</f>
        <v>8.3333333333333329E-2</v>
      </c>
      <c r="E26" s="27">
        <f t="shared" ref="E26:E27" si="0">($E$23*D26)</f>
        <v>145.29</v>
      </c>
      <c r="F26" s="19"/>
    </row>
    <row r="27" spans="1:6" ht="15.75" customHeight="1" x14ac:dyDescent="0.25">
      <c r="A27" s="30" t="s">
        <v>31</v>
      </c>
      <c r="B27" s="37" t="s">
        <v>62</v>
      </c>
      <c r="C27" s="26"/>
      <c r="D27" s="38">
        <v>0.1111</v>
      </c>
      <c r="E27" s="27">
        <f t="shared" si="0"/>
        <v>193.70062800000002</v>
      </c>
      <c r="F27" s="19"/>
    </row>
    <row r="28" spans="1:6" ht="15.75" customHeight="1" x14ac:dyDescent="0.25">
      <c r="A28" s="239" t="s">
        <v>28</v>
      </c>
      <c r="B28" s="240"/>
      <c r="C28" s="241"/>
      <c r="D28" s="78">
        <f t="shared" ref="D28:E28" si="1">SUM(D26:D27)</f>
        <v>0.19443333333333335</v>
      </c>
      <c r="E28" s="77">
        <f t="shared" si="1"/>
        <v>338.99062800000002</v>
      </c>
      <c r="F28" s="19"/>
    </row>
    <row r="29" spans="1:6" ht="26.25" customHeight="1" x14ac:dyDescent="0.25">
      <c r="A29" s="253" t="s">
        <v>63</v>
      </c>
      <c r="B29" s="237"/>
      <c r="C29" s="237"/>
      <c r="D29" s="237"/>
      <c r="E29" s="238"/>
      <c r="F29" s="19"/>
    </row>
    <row r="30" spans="1:6" ht="15.75" customHeight="1" x14ac:dyDescent="0.25">
      <c r="A30" s="28" t="s">
        <v>64</v>
      </c>
      <c r="B30" s="244" t="s">
        <v>65</v>
      </c>
      <c r="C30" s="237"/>
      <c r="D30" s="243"/>
      <c r="E30" s="29" t="s">
        <v>41</v>
      </c>
      <c r="F30" s="19"/>
    </row>
    <row r="31" spans="1:6" ht="15.75" customHeight="1" x14ac:dyDescent="0.25">
      <c r="A31" s="30" t="s">
        <v>29</v>
      </c>
      <c r="B31" s="251" t="s">
        <v>66</v>
      </c>
      <c r="C31" s="252"/>
      <c r="D31" s="38">
        <v>0.2</v>
      </c>
      <c r="E31" s="27">
        <f>(E23+E28)*D31</f>
        <v>416.49412560000002</v>
      </c>
      <c r="F31" s="19"/>
    </row>
    <row r="32" spans="1:6" ht="15.75" customHeight="1" x14ac:dyDescent="0.25">
      <c r="A32" s="30" t="s">
        <v>31</v>
      </c>
      <c r="B32" s="251" t="s">
        <v>67</v>
      </c>
      <c r="C32" s="252"/>
      <c r="D32" s="38">
        <v>1.4999999999999999E-2</v>
      </c>
      <c r="E32" s="27">
        <f>(E23+E28)*D32</f>
        <v>31.237059419999998</v>
      </c>
      <c r="F32" s="19"/>
    </row>
    <row r="33" spans="1:6" ht="15.75" customHeight="1" x14ac:dyDescent="0.25">
      <c r="A33" s="30" t="s">
        <v>33</v>
      </c>
      <c r="B33" s="251" t="s">
        <v>138</v>
      </c>
      <c r="C33" s="252"/>
      <c r="D33" s="38">
        <v>0.01</v>
      </c>
      <c r="E33" s="27">
        <f>(E23+E28)*D33</f>
        <v>20.824706280000001</v>
      </c>
      <c r="F33" s="19"/>
    </row>
    <row r="34" spans="1:6" ht="15.75" customHeight="1" x14ac:dyDescent="0.25">
      <c r="A34" s="30" t="s">
        <v>35</v>
      </c>
      <c r="B34" s="251" t="s">
        <v>68</v>
      </c>
      <c r="C34" s="252"/>
      <c r="D34" s="38">
        <v>2E-3</v>
      </c>
      <c r="E34" s="27">
        <f>(E23+E28)*D34</f>
        <v>4.1649412560000005</v>
      </c>
      <c r="F34" s="19"/>
    </row>
    <row r="35" spans="1:6" ht="15.75" customHeight="1" x14ac:dyDescent="0.25">
      <c r="A35" s="30" t="s">
        <v>53</v>
      </c>
      <c r="B35" s="251" t="s">
        <v>139</v>
      </c>
      <c r="C35" s="252"/>
      <c r="D35" s="38">
        <v>2.5000000000000001E-2</v>
      </c>
      <c r="E35" s="27">
        <f>(E23+E28)*D35</f>
        <v>52.061765700000002</v>
      </c>
      <c r="F35" s="19"/>
    </row>
    <row r="36" spans="1:6" ht="15.75" customHeight="1" x14ac:dyDescent="0.25">
      <c r="A36" s="30" t="s">
        <v>55</v>
      </c>
      <c r="B36" s="251" t="s">
        <v>69</v>
      </c>
      <c r="C36" s="252"/>
      <c r="D36" s="38">
        <v>0.08</v>
      </c>
      <c r="E36" s="27">
        <f>(E23+E28)*D36</f>
        <v>166.59765024000001</v>
      </c>
      <c r="F36" s="19"/>
    </row>
    <row r="37" spans="1:6" ht="15.75" customHeight="1" x14ac:dyDescent="0.25">
      <c r="A37" s="30" t="s">
        <v>70</v>
      </c>
      <c r="B37" s="251" t="s">
        <v>71</v>
      </c>
      <c r="C37" s="252"/>
      <c r="D37" s="38">
        <v>0.03</v>
      </c>
      <c r="E37" s="27">
        <f>(E23+E28)*D37</f>
        <v>62.474118839999996</v>
      </c>
      <c r="F37" s="19"/>
    </row>
    <row r="38" spans="1:6" ht="15.75" customHeight="1" x14ac:dyDescent="0.25">
      <c r="A38" s="40" t="s">
        <v>72</v>
      </c>
      <c r="B38" s="274" t="s">
        <v>73</v>
      </c>
      <c r="C38" s="275"/>
      <c r="D38" s="41">
        <v>6.0000000000000001E-3</v>
      </c>
      <c r="E38" s="36">
        <f>(E23+E28)*D38</f>
        <v>12.494823768</v>
      </c>
      <c r="F38" s="18"/>
    </row>
    <row r="39" spans="1:6" ht="15.75" customHeight="1" x14ac:dyDescent="0.25">
      <c r="A39" s="239" t="s">
        <v>28</v>
      </c>
      <c r="B39" s="240"/>
      <c r="C39" s="241"/>
      <c r="D39" s="78">
        <f t="shared" ref="D39" si="2">SUM(D31:D38)</f>
        <v>0.3680000000000001</v>
      </c>
      <c r="E39" s="77">
        <f>SUM(E31:E38)</f>
        <v>766.34919110399994</v>
      </c>
      <c r="F39" s="19"/>
    </row>
    <row r="40" spans="1:6" ht="15.75" customHeight="1" x14ac:dyDescent="0.25">
      <c r="A40" s="28" t="s">
        <v>74</v>
      </c>
      <c r="B40" s="244" t="s">
        <v>75</v>
      </c>
      <c r="C40" s="237"/>
      <c r="D40" s="243"/>
      <c r="E40" s="29" t="s">
        <v>41</v>
      </c>
      <c r="F40" s="19"/>
    </row>
    <row r="41" spans="1:6" ht="15.75" customHeight="1" x14ac:dyDescent="0.25">
      <c r="A41" s="30" t="s">
        <v>29</v>
      </c>
      <c r="B41" s="271" t="s">
        <v>76</v>
      </c>
      <c r="C41" s="243"/>
      <c r="D41" s="42">
        <f>DADOS!C21</f>
        <v>3</v>
      </c>
      <c r="E41" s="32">
        <f>(44*D41)-(E12*0.06)</f>
        <v>27.391199999999998</v>
      </c>
      <c r="F41" s="19"/>
    </row>
    <row r="42" spans="1:6" ht="15.75" customHeight="1" x14ac:dyDescent="0.25">
      <c r="A42" s="30" t="s">
        <v>31</v>
      </c>
      <c r="B42" s="271" t="s">
        <v>77</v>
      </c>
      <c r="C42" s="243"/>
      <c r="D42" s="43">
        <f>DADOS!C20</f>
        <v>626.94000000000005</v>
      </c>
      <c r="E42" s="32">
        <f>(D42)-(D42*0.99%)</f>
        <v>620.733294</v>
      </c>
      <c r="F42" s="19"/>
    </row>
    <row r="43" spans="1:6" ht="15.75" customHeight="1" x14ac:dyDescent="0.25">
      <c r="A43" s="30" t="s">
        <v>33</v>
      </c>
      <c r="B43" s="271" t="s">
        <v>78</v>
      </c>
      <c r="C43" s="243"/>
      <c r="D43" s="44"/>
      <c r="E43" s="32">
        <v>0</v>
      </c>
      <c r="F43" s="19"/>
    </row>
    <row r="44" spans="1:6" ht="15.75" customHeight="1" x14ac:dyDescent="0.25">
      <c r="A44" s="30" t="s">
        <v>35</v>
      </c>
      <c r="B44" s="271" t="s">
        <v>79</v>
      </c>
      <c r="C44" s="243"/>
      <c r="D44" s="45">
        <v>0.5</v>
      </c>
      <c r="E44" s="27">
        <f>(((E12*50%)*0.0199)*2)/12</f>
        <v>2.8912710000000001</v>
      </c>
      <c r="F44" s="19"/>
    </row>
    <row r="45" spans="1:6" ht="22.5" customHeight="1" x14ac:dyDescent="0.25">
      <c r="A45" s="70" t="s">
        <v>53</v>
      </c>
      <c r="B45" s="268" t="s">
        <v>360</v>
      </c>
      <c r="C45" s="261"/>
      <c r="D45" s="71">
        <f>DADOS!C23</f>
        <v>37425.03</v>
      </c>
      <c r="E45" s="60">
        <v>20.93</v>
      </c>
      <c r="F45" s="19"/>
    </row>
    <row r="46" spans="1:6" ht="15.75" customHeight="1" x14ac:dyDescent="0.25">
      <c r="A46" s="269" t="s">
        <v>81</v>
      </c>
      <c r="B46" s="270"/>
      <c r="C46" s="270"/>
      <c r="D46" s="270"/>
      <c r="E46" s="79">
        <f>SUM(E41:E45)</f>
        <v>671.94576499999994</v>
      </c>
      <c r="F46" s="19"/>
    </row>
    <row r="47" spans="1:6" ht="15.75" customHeight="1" x14ac:dyDescent="0.25">
      <c r="A47" s="263" t="s">
        <v>82</v>
      </c>
      <c r="B47" s="264"/>
      <c r="C47" s="264"/>
      <c r="D47" s="265"/>
      <c r="E47" s="72"/>
      <c r="F47" s="19"/>
    </row>
    <row r="48" spans="1:6" ht="15.75" customHeight="1" x14ac:dyDescent="0.25">
      <c r="A48" s="28" t="s">
        <v>59</v>
      </c>
      <c r="B48" s="244" t="s">
        <v>83</v>
      </c>
      <c r="C48" s="237"/>
      <c r="D48" s="243"/>
      <c r="E48" s="29">
        <f>E28</f>
        <v>338.99062800000002</v>
      </c>
      <c r="F48" s="19"/>
    </row>
    <row r="49" spans="1:11" ht="15.75" customHeight="1" x14ac:dyDescent="0.25">
      <c r="A49" s="28" t="s">
        <v>64</v>
      </c>
      <c r="B49" s="248" t="s">
        <v>84</v>
      </c>
      <c r="C49" s="249"/>
      <c r="D49" s="250"/>
      <c r="E49" s="27">
        <f>E39</f>
        <v>766.34919110399994</v>
      </c>
      <c r="F49" s="19"/>
      <c r="G49" s="19"/>
    </row>
    <row r="50" spans="1:11" ht="15.75" customHeight="1" x14ac:dyDescent="0.25">
      <c r="A50" s="28" t="s">
        <v>74</v>
      </c>
      <c r="B50" s="248" t="s">
        <v>85</v>
      </c>
      <c r="C50" s="249"/>
      <c r="D50" s="250"/>
      <c r="E50" s="27">
        <f>E46</f>
        <v>671.94576499999994</v>
      </c>
      <c r="F50" s="19"/>
      <c r="G50" s="19"/>
    </row>
    <row r="51" spans="1:11" ht="15.75" customHeight="1" x14ac:dyDescent="0.25">
      <c r="A51" s="257" t="s">
        <v>28</v>
      </c>
      <c r="B51" s="258"/>
      <c r="C51" s="258"/>
      <c r="D51" s="259"/>
      <c r="E51" s="77">
        <f>SUM(E48:E50)</f>
        <v>1777.285584104</v>
      </c>
      <c r="F51" s="19"/>
      <c r="G51" s="19"/>
    </row>
    <row r="52" spans="1:11" ht="15.75" customHeight="1" x14ac:dyDescent="0.25">
      <c r="A52" s="276" t="s">
        <v>86</v>
      </c>
      <c r="B52" s="277"/>
      <c r="C52" s="277"/>
      <c r="D52" s="277"/>
      <c r="E52" s="278"/>
      <c r="F52" s="19"/>
      <c r="G52" s="19"/>
    </row>
    <row r="53" spans="1:11" ht="15.75" customHeight="1" x14ac:dyDescent="0.25">
      <c r="A53" s="28" t="s">
        <v>87</v>
      </c>
      <c r="B53" s="244" t="s">
        <v>88</v>
      </c>
      <c r="C53" s="237"/>
      <c r="D53" s="243"/>
      <c r="E53" s="29" t="s">
        <v>41</v>
      </c>
      <c r="F53" s="19"/>
      <c r="G53" s="19"/>
    </row>
    <row r="54" spans="1:11" ht="15.75" customHeight="1" x14ac:dyDescent="0.25">
      <c r="A54" s="30" t="s">
        <v>29</v>
      </c>
      <c r="B54" s="248" t="s">
        <v>89</v>
      </c>
      <c r="C54" s="250"/>
      <c r="D54" s="38">
        <f>(1/12)*0.055</f>
        <v>4.5833333333333334E-3</v>
      </c>
      <c r="E54" s="27">
        <f t="shared" ref="E54:E56" si="3">ROUND(+D54*$E$23,2)</f>
        <v>7.99</v>
      </c>
      <c r="F54" s="19"/>
      <c r="G54" s="19"/>
    </row>
    <row r="55" spans="1:11" ht="15.75" customHeight="1" x14ac:dyDescent="0.25">
      <c r="A55" s="30" t="s">
        <v>31</v>
      </c>
      <c r="B55" s="248" t="s">
        <v>90</v>
      </c>
      <c r="C55" s="250"/>
      <c r="D55" s="38">
        <f>D36*D54</f>
        <v>3.6666666666666667E-4</v>
      </c>
      <c r="E55" s="27">
        <f t="shared" si="3"/>
        <v>0.64</v>
      </c>
      <c r="F55" s="19"/>
      <c r="G55" s="19"/>
      <c r="K55" s="1"/>
    </row>
    <row r="56" spans="1:11" ht="15.75" customHeight="1" x14ac:dyDescent="0.25">
      <c r="A56" s="30" t="s">
        <v>35</v>
      </c>
      <c r="B56" s="251" t="s">
        <v>91</v>
      </c>
      <c r="C56" s="252"/>
      <c r="D56" s="38">
        <v>1.9400000000000001E-2</v>
      </c>
      <c r="E56" s="27">
        <f t="shared" si="3"/>
        <v>33.82</v>
      </c>
      <c r="F56" s="19"/>
      <c r="G56" s="19"/>
    </row>
    <row r="57" spans="1:11" x14ac:dyDescent="0.25">
      <c r="A57" s="30" t="s">
        <v>53</v>
      </c>
      <c r="B57" s="248" t="s">
        <v>92</v>
      </c>
      <c r="C57" s="250"/>
      <c r="D57" s="38">
        <f>D39*D56</f>
        <v>7.1392000000000027E-3</v>
      </c>
      <c r="E57" s="27">
        <f>D57*E23</f>
        <v>12.447052416000005</v>
      </c>
      <c r="F57" s="19"/>
      <c r="G57" s="19"/>
    </row>
    <row r="58" spans="1:11" x14ac:dyDescent="0.25">
      <c r="A58" s="30" t="s">
        <v>55</v>
      </c>
      <c r="B58" s="248" t="s">
        <v>93</v>
      </c>
      <c r="C58" s="250"/>
      <c r="D58" s="38">
        <v>0.04</v>
      </c>
      <c r="E58" s="27">
        <f>ROUND(+D58*$E$23,2)</f>
        <v>69.739999999999995</v>
      </c>
      <c r="F58" s="19"/>
      <c r="G58" s="19"/>
    </row>
    <row r="59" spans="1:11" ht="15.75" customHeight="1" x14ac:dyDescent="0.25">
      <c r="A59" s="239" t="s">
        <v>28</v>
      </c>
      <c r="B59" s="240"/>
      <c r="C59" s="267"/>
      <c r="D59" s="80">
        <f t="shared" ref="D59:E59" si="4">SUM(D54:D58)</f>
        <v>7.1489200000000003E-2</v>
      </c>
      <c r="E59" s="77">
        <f t="shared" si="4"/>
        <v>124.637052416</v>
      </c>
      <c r="F59" s="19"/>
      <c r="G59" s="19"/>
    </row>
    <row r="60" spans="1:11" ht="15.75" customHeight="1" x14ac:dyDescent="0.25">
      <c r="A60" s="276" t="s">
        <v>94</v>
      </c>
      <c r="B60" s="277"/>
      <c r="C60" s="277"/>
      <c r="D60" s="277"/>
      <c r="E60" s="278"/>
      <c r="F60" s="19"/>
      <c r="G60" s="19"/>
    </row>
    <row r="61" spans="1:11" ht="15.75" customHeight="1" x14ac:dyDescent="0.25">
      <c r="A61" s="28" t="s">
        <v>13</v>
      </c>
      <c r="B61" s="311" t="s">
        <v>95</v>
      </c>
      <c r="C61" s="237"/>
      <c r="D61" s="243"/>
      <c r="E61" s="29" t="s">
        <v>41</v>
      </c>
      <c r="F61" s="19"/>
      <c r="G61" s="19"/>
    </row>
    <row r="62" spans="1:11" ht="15.75" customHeight="1" x14ac:dyDescent="0.25">
      <c r="A62" s="30" t="s">
        <v>29</v>
      </c>
      <c r="B62" s="248" t="s">
        <v>96</v>
      </c>
      <c r="C62" s="250"/>
      <c r="D62" s="38">
        <f>((1+1/3)/12)/12</f>
        <v>9.2592592592592587E-3</v>
      </c>
      <c r="E62" s="27">
        <f t="shared" ref="E62:E67" si="5">($E$23+$E$51+$E$59+$E$80)*D62</f>
        <v>34.718575338148149</v>
      </c>
      <c r="F62" s="19"/>
      <c r="G62" s="47"/>
      <c r="K62" s="48"/>
    </row>
    <row r="63" spans="1:11" ht="15.75" x14ac:dyDescent="0.25">
      <c r="A63" s="30" t="s">
        <v>31</v>
      </c>
      <c r="B63" s="248" t="s">
        <v>97</v>
      </c>
      <c r="C63" s="250"/>
      <c r="D63" s="38">
        <v>1.66E-2</v>
      </c>
      <c r="E63" s="27">
        <f t="shared" si="5"/>
        <v>62.243461866232003</v>
      </c>
      <c r="F63" s="19"/>
      <c r="G63" s="47"/>
      <c r="K63" s="48"/>
    </row>
    <row r="64" spans="1:11" ht="15.75" customHeight="1" x14ac:dyDescent="0.25">
      <c r="A64" s="30" t="s">
        <v>33</v>
      </c>
      <c r="B64" s="248" t="s">
        <v>98</v>
      </c>
      <c r="C64" s="250"/>
      <c r="D64" s="38">
        <f>(5/30)*(1/12)*3.24%*50%</f>
        <v>2.2500000000000002E-4</v>
      </c>
      <c r="E64" s="27">
        <f t="shared" si="5"/>
        <v>0.84366138071700014</v>
      </c>
      <c r="F64" s="19"/>
      <c r="G64" s="47"/>
      <c r="K64" s="48"/>
    </row>
    <row r="65" spans="1:6" ht="15.75" customHeight="1" x14ac:dyDescent="0.25">
      <c r="A65" s="30" t="s">
        <v>35</v>
      </c>
      <c r="B65" s="248" t="s">
        <v>99</v>
      </c>
      <c r="C65" s="250"/>
      <c r="D65" s="38">
        <f>(((15/30)/12)*(8%*100%))</f>
        <v>3.3333333333333331E-3</v>
      </c>
      <c r="E65" s="27">
        <f t="shared" si="5"/>
        <v>12.498687121733333</v>
      </c>
      <c r="F65" s="19"/>
    </row>
    <row r="66" spans="1:6" ht="15.75" customHeight="1" x14ac:dyDescent="0.25">
      <c r="A66" s="30" t="s">
        <v>53</v>
      </c>
      <c r="B66" s="248" t="s">
        <v>100</v>
      </c>
      <c r="C66" s="250"/>
      <c r="D66" s="38">
        <f>((1+1/3)/12)*0.03*((4/12))</f>
        <v>1.1111111111111109E-3</v>
      </c>
      <c r="E66" s="27">
        <f t="shared" si="5"/>
        <v>4.1662290405777771</v>
      </c>
      <c r="F66" s="19"/>
    </row>
    <row r="67" spans="1:6" ht="15.75" customHeight="1" x14ac:dyDescent="0.25">
      <c r="A67" s="30" t="s">
        <v>55</v>
      </c>
      <c r="B67" s="248" t="s">
        <v>101</v>
      </c>
      <c r="C67" s="250"/>
      <c r="D67" s="38">
        <v>0</v>
      </c>
      <c r="E67" s="27">
        <f t="shared" si="5"/>
        <v>0</v>
      </c>
      <c r="F67" s="19"/>
    </row>
    <row r="68" spans="1:6" ht="15.75" customHeight="1" x14ac:dyDescent="0.25">
      <c r="A68" s="239" t="s">
        <v>102</v>
      </c>
      <c r="B68" s="240"/>
      <c r="C68" s="241"/>
      <c r="D68" s="80">
        <f t="shared" ref="D68:E68" si="6">SUM(D62:D67)</f>
        <v>3.0528703703703704E-2</v>
      </c>
      <c r="E68" s="77">
        <f t="shared" si="6"/>
        <v>114.47061474740826</v>
      </c>
      <c r="F68" s="19"/>
    </row>
    <row r="69" spans="1:6" ht="15.75" customHeight="1" x14ac:dyDescent="0.25">
      <c r="A69" s="242"/>
      <c r="B69" s="237"/>
      <c r="C69" s="237"/>
      <c r="D69" s="243"/>
      <c r="E69" s="27"/>
      <c r="F69" s="19"/>
    </row>
    <row r="70" spans="1:6" ht="15.75" customHeight="1" x14ac:dyDescent="0.25">
      <c r="A70" s="28" t="s">
        <v>21</v>
      </c>
      <c r="B70" s="244" t="s">
        <v>103</v>
      </c>
      <c r="C70" s="237"/>
      <c r="D70" s="243"/>
      <c r="E70" s="29" t="s">
        <v>41</v>
      </c>
      <c r="F70" s="19"/>
    </row>
    <row r="71" spans="1:6" ht="15.75" customHeight="1" x14ac:dyDescent="0.25">
      <c r="A71" s="30" t="s">
        <v>29</v>
      </c>
      <c r="B71" s="248" t="s">
        <v>104</v>
      </c>
      <c r="C71" s="250"/>
      <c r="D71" s="38">
        <v>0</v>
      </c>
      <c r="E71" s="27">
        <f>ROUND(+$E$24*D71,2)</f>
        <v>0</v>
      </c>
      <c r="F71" s="19"/>
    </row>
    <row r="72" spans="1:6" ht="15.75" customHeight="1" x14ac:dyDescent="0.25">
      <c r="A72" s="239" t="s">
        <v>28</v>
      </c>
      <c r="B72" s="240"/>
      <c r="C72" s="267"/>
      <c r="D72" s="78">
        <f t="shared" ref="D72:E72" si="7">D71</f>
        <v>0</v>
      </c>
      <c r="E72" s="77">
        <f t="shared" si="7"/>
        <v>0</v>
      </c>
      <c r="F72" s="19"/>
    </row>
    <row r="73" spans="1:6" ht="15.75" customHeight="1" x14ac:dyDescent="0.25">
      <c r="A73" s="276" t="s">
        <v>105</v>
      </c>
      <c r="B73" s="277"/>
      <c r="C73" s="277"/>
      <c r="D73" s="277"/>
      <c r="E73" s="278"/>
      <c r="F73" s="19"/>
    </row>
    <row r="74" spans="1:6" ht="15.75" customHeight="1" x14ac:dyDescent="0.25">
      <c r="A74" s="28">
        <v>4</v>
      </c>
      <c r="B74" s="244" t="s">
        <v>106</v>
      </c>
      <c r="C74" s="237"/>
      <c r="D74" s="243"/>
      <c r="E74" s="29" t="s">
        <v>41</v>
      </c>
      <c r="F74" s="19"/>
    </row>
    <row r="75" spans="1:6" ht="15.75" customHeight="1" x14ac:dyDescent="0.25">
      <c r="A75" s="30" t="s">
        <v>13</v>
      </c>
      <c r="B75" s="248" t="s">
        <v>95</v>
      </c>
      <c r="C75" s="250"/>
      <c r="D75" s="38">
        <f t="shared" ref="D75:E75" si="8">D68</f>
        <v>3.0528703703703704E-2</v>
      </c>
      <c r="E75" s="27">
        <f t="shared" si="8"/>
        <v>114.47061474740826</v>
      </c>
      <c r="F75" s="19"/>
    </row>
    <row r="76" spans="1:6" ht="15.75" customHeight="1" x14ac:dyDescent="0.25">
      <c r="A76" s="30" t="s">
        <v>14</v>
      </c>
      <c r="B76" s="248" t="s">
        <v>103</v>
      </c>
      <c r="C76" s="250"/>
      <c r="D76" s="38">
        <f t="shared" ref="D76:E76" si="9">D72</f>
        <v>0</v>
      </c>
      <c r="E76" s="27">
        <f t="shared" si="9"/>
        <v>0</v>
      </c>
      <c r="F76" s="19"/>
    </row>
    <row r="77" spans="1:6" ht="15.75" customHeight="1" x14ac:dyDescent="0.25">
      <c r="A77" s="239" t="s">
        <v>107</v>
      </c>
      <c r="B77" s="240"/>
      <c r="C77" s="241"/>
      <c r="D77" s="80">
        <f>SUM(D72:D76)</f>
        <v>3.0528703703703704E-2</v>
      </c>
      <c r="E77" s="77">
        <f>SUM(E75+E76)</f>
        <v>114.47061474740826</v>
      </c>
      <c r="F77" s="19"/>
    </row>
    <row r="78" spans="1:6" ht="15.75" customHeight="1" x14ac:dyDescent="0.25">
      <c r="A78" s="242" t="s">
        <v>108</v>
      </c>
      <c r="B78" s="237"/>
      <c r="C78" s="237"/>
      <c r="D78" s="243"/>
      <c r="E78" s="27"/>
      <c r="F78" s="19"/>
    </row>
    <row r="79" spans="1:6" ht="15.75" customHeight="1" x14ac:dyDescent="0.25">
      <c r="A79" s="28">
        <v>5</v>
      </c>
      <c r="B79" s="244" t="s">
        <v>109</v>
      </c>
      <c r="C79" s="237"/>
      <c r="D79" s="243"/>
      <c r="E79" s="29" t="s">
        <v>41</v>
      </c>
      <c r="F79" s="19"/>
    </row>
    <row r="80" spans="1:6" ht="15.75" customHeight="1" x14ac:dyDescent="0.25">
      <c r="A80" s="30" t="s">
        <v>29</v>
      </c>
      <c r="B80" s="248" t="s">
        <v>110</v>
      </c>
      <c r="C80" s="249"/>
      <c r="D80" s="250"/>
      <c r="E80" s="27">
        <f>'CIAC - COM INSALUBRIDADE'!E82</f>
        <v>104.20349999999999</v>
      </c>
      <c r="F80" s="19"/>
    </row>
    <row r="81" spans="1:5" ht="15.75" customHeight="1" x14ac:dyDescent="0.25">
      <c r="A81" s="30" t="s">
        <v>31</v>
      </c>
      <c r="B81" s="248" t="s">
        <v>111</v>
      </c>
      <c r="C81" s="249"/>
      <c r="D81" s="250"/>
      <c r="E81" s="27">
        <f>'CIAC - COM INSALUBRIDADE'!E83</f>
        <v>427.67758333333342</v>
      </c>
    </row>
    <row r="82" spans="1:5" ht="15.75" customHeight="1" x14ac:dyDescent="0.25">
      <c r="A82" s="30" t="s">
        <v>33</v>
      </c>
      <c r="B82" s="248" t="s">
        <v>112</v>
      </c>
      <c r="C82" s="249"/>
      <c r="D82" s="250"/>
      <c r="E82" s="27">
        <f>'CIAC - COM INSALUBRIDADE'!E84</f>
        <v>363.6225</v>
      </c>
    </row>
    <row r="83" spans="1:5" ht="15.75" customHeight="1" x14ac:dyDescent="0.25">
      <c r="A83" s="30" t="s">
        <v>35</v>
      </c>
      <c r="B83" s="248" t="s">
        <v>140</v>
      </c>
      <c r="C83" s="249"/>
      <c r="D83" s="250"/>
      <c r="E83" s="27">
        <v>0</v>
      </c>
    </row>
    <row r="84" spans="1:5" ht="15.75" customHeight="1" x14ac:dyDescent="0.25">
      <c r="A84" s="257" t="s">
        <v>113</v>
      </c>
      <c r="B84" s="258"/>
      <c r="C84" s="258"/>
      <c r="D84" s="259"/>
      <c r="E84" s="77">
        <f>SUM(E80:E83)</f>
        <v>895.50358333333338</v>
      </c>
    </row>
    <row r="85" spans="1:5" ht="15.75" customHeight="1" x14ac:dyDescent="0.25">
      <c r="A85" s="260" t="s">
        <v>114</v>
      </c>
      <c r="B85" s="261"/>
      <c r="C85" s="262" t="s">
        <v>28</v>
      </c>
      <c r="D85" s="261"/>
      <c r="E85" s="60">
        <f>SUM(E23+E51+E59+E77+E84)</f>
        <v>4655.3768346007419</v>
      </c>
    </row>
    <row r="86" spans="1:5" ht="27" customHeight="1" x14ac:dyDescent="0.25">
      <c r="A86" s="266" t="s">
        <v>115</v>
      </c>
      <c r="B86" s="266"/>
      <c r="C86" s="266"/>
      <c r="D86" s="266"/>
      <c r="E86" s="79">
        <f>E85</f>
        <v>4655.3768346007419</v>
      </c>
    </row>
    <row r="87" spans="1:5" ht="15.75" customHeight="1" x14ac:dyDescent="0.25">
      <c r="A87" s="263" t="s">
        <v>116</v>
      </c>
      <c r="B87" s="264"/>
      <c r="C87" s="264"/>
      <c r="D87" s="265"/>
      <c r="E87" s="72"/>
    </row>
    <row r="88" spans="1:5" ht="15.75" customHeight="1" x14ac:dyDescent="0.25">
      <c r="A88" s="28">
        <v>6</v>
      </c>
      <c r="B88" s="244" t="s">
        <v>117</v>
      </c>
      <c r="C88" s="237"/>
      <c r="D88" s="243"/>
      <c r="E88" s="29" t="s">
        <v>41</v>
      </c>
    </row>
    <row r="89" spans="1:5" ht="15.75" customHeight="1" x14ac:dyDescent="0.25">
      <c r="A89" s="28" t="s">
        <v>29</v>
      </c>
      <c r="B89" s="37" t="s">
        <v>118</v>
      </c>
      <c r="C89" s="306">
        <v>0.03</v>
      </c>
      <c r="D89" s="243"/>
      <c r="E89" s="27">
        <f>+E86*C89</f>
        <v>139.66130503802225</v>
      </c>
    </row>
    <row r="90" spans="1:5" ht="15.75" customHeight="1" x14ac:dyDescent="0.25">
      <c r="A90" s="28" t="s">
        <v>31</v>
      </c>
      <c r="B90" s="37" t="s">
        <v>119</v>
      </c>
      <c r="C90" s="306">
        <v>6.7900000000000002E-2</v>
      </c>
      <c r="D90" s="243"/>
      <c r="E90" s="27">
        <f>C90*(+E86+E89)</f>
        <v>325.58308968147207</v>
      </c>
    </row>
    <row r="91" spans="1:5" ht="15" customHeight="1" x14ac:dyDescent="0.25">
      <c r="A91" s="307" t="s">
        <v>33</v>
      </c>
      <c r="B91" s="310" t="s">
        <v>120</v>
      </c>
      <c r="C91" s="243"/>
      <c r="D91" s="49">
        <f>1-D99</f>
        <v>0.85749999999999993</v>
      </c>
      <c r="E91" s="27">
        <f>+E86+E89+E90</f>
        <v>5120.6212293202361</v>
      </c>
    </row>
    <row r="92" spans="1:5" ht="15.75" customHeight="1" x14ac:dyDescent="0.25">
      <c r="A92" s="308"/>
      <c r="B92" s="50" t="s">
        <v>121</v>
      </c>
      <c r="C92" s="46"/>
      <c r="D92" s="46"/>
      <c r="E92" s="32">
        <f>+E91/D91</f>
        <v>5971.5699467291388</v>
      </c>
    </row>
    <row r="93" spans="1:5" ht="15.75" customHeight="1" x14ac:dyDescent="0.25">
      <c r="A93" s="308"/>
      <c r="B93" s="51" t="s">
        <v>122</v>
      </c>
      <c r="C93" s="52"/>
      <c r="D93" s="53"/>
      <c r="E93" s="27"/>
    </row>
    <row r="94" spans="1:5" ht="15.75" customHeight="1" x14ac:dyDescent="0.25">
      <c r="A94" s="308"/>
      <c r="B94" s="76" t="s">
        <v>144</v>
      </c>
      <c r="C94" s="54"/>
      <c r="D94" s="38">
        <v>1.6500000000000001E-2</v>
      </c>
      <c r="E94" s="27">
        <f>+E92*D94</f>
        <v>98.530904121030801</v>
      </c>
    </row>
    <row r="95" spans="1:5" ht="15.75" customHeight="1" x14ac:dyDescent="0.25">
      <c r="A95" s="308"/>
      <c r="B95" s="76" t="s">
        <v>145</v>
      </c>
      <c r="C95" s="54"/>
      <c r="D95" s="38">
        <v>7.5999999999999998E-2</v>
      </c>
      <c r="E95" s="27">
        <f>+E92*D95</f>
        <v>453.83931595141456</v>
      </c>
    </row>
    <row r="96" spans="1:5" ht="15.75" customHeight="1" x14ac:dyDescent="0.25">
      <c r="A96" s="308"/>
      <c r="B96" s="55" t="s">
        <v>123</v>
      </c>
      <c r="C96" s="56"/>
      <c r="D96" s="39"/>
      <c r="E96" s="27"/>
    </row>
    <row r="97" spans="1:5" ht="15.75" customHeight="1" x14ac:dyDescent="0.25">
      <c r="A97" s="308"/>
      <c r="B97" s="55" t="s">
        <v>124</v>
      </c>
      <c r="C97" s="56"/>
      <c r="D97" s="31"/>
      <c r="E97" s="27"/>
    </row>
    <row r="98" spans="1:5" ht="15.75" customHeight="1" thickBot="1" x14ac:dyDescent="0.3">
      <c r="A98" s="309"/>
      <c r="B98" s="57" t="s">
        <v>125</v>
      </c>
      <c r="C98" s="58"/>
      <c r="D98" s="59">
        <v>0.05</v>
      </c>
      <c r="E98" s="60">
        <f>+E92*D98</f>
        <v>298.57849733645696</v>
      </c>
    </row>
    <row r="99" spans="1:5" ht="15.75" customHeight="1" thickBot="1" x14ac:dyDescent="0.3">
      <c r="A99" s="61"/>
      <c r="B99" s="62" t="s">
        <v>126</v>
      </c>
      <c r="C99" s="62"/>
      <c r="D99" s="63">
        <f t="shared" ref="D99:E99" si="10">SUM(D94:D98)</f>
        <v>0.14250000000000002</v>
      </c>
      <c r="E99" s="64">
        <f t="shared" si="10"/>
        <v>850.94871740890233</v>
      </c>
    </row>
    <row r="100" spans="1:5" ht="15.75" customHeight="1" x14ac:dyDescent="0.25">
      <c r="A100" s="301" t="s">
        <v>127</v>
      </c>
      <c r="B100" s="283"/>
      <c r="C100" s="283"/>
      <c r="D100" s="302"/>
      <c r="E100" s="81">
        <f>+E89+E90+E99</f>
        <v>1316.1931121283967</v>
      </c>
    </row>
    <row r="101" spans="1:5" ht="15.75" customHeight="1" x14ac:dyDescent="0.25">
      <c r="A101" s="303" t="s">
        <v>128</v>
      </c>
      <c r="B101" s="240"/>
      <c r="C101" s="240"/>
      <c r="D101" s="241"/>
      <c r="E101" s="73" t="s">
        <v>41</v>
      </c>
    </row>
    <row r="102" spans="1:5" ht="15.75" customHeight="1" x14ac:dyDescent="0.25">
      <c r="A102" s="28" t="s">
        <v>29</v>
      </c>
      <c r="B102" s="244" t="s">
        <v>129</v>
      </c>
      <c r="C102" s="237"/>
      <c r="D102" s="243"/>
      <c r="E102" s="27">
        <f>+E23</f>
        <v>1743.48</v>
      </c>
    </row>
    <row r="103" spans="1:5" ht="15.75" customHeight="1" x14ac:dyDescent="0.25">
      <c r="A103" s="28" t="s">
        <v>31</v>
      </c>
      <c r="B103" s="244" t="s">
        <v>130</v>
      </c>
      <c r="C103" s="237"/>
      <c r="D103" s="243"/>
      <c r="E103" s="27">
        <f>E51</f>
        <v>1777.285584104</v>
      </c>
    </row>
    <row r="104" spans="1:5" ht="15.75" customHeight="1" x14ac:dyDescent="0.25">
      <c r="A104" s="28" t="s">
        <v>33</v>
      </c>
      <c r="B104" s="244" t="s">
        <v>131</v>
      </c>
      <c r="C104" s="237"/>
      <c r="D104" s="243"/>
      <c r="E104" s="27">
        <f>E59</f>
        <v>124.637052416</v>
      </c>
    </row>
    <row r="105" spans="1:5" ht="15.75" customHeight="1" x14ac:dyDescent="0.25">
      <c r="A105" s="28" t="s">
        <v>35</v>
      </c>
      <c r="B105" s="244" t="s">
        <v>132</v>
      </c>
      <c r="C105" s="237"/>
      <c r="D105" s="243"/>
      <c r="E105" s="27">
        <f>E77</f>
        <v>114.47061474740826</v>
      </c>
    </row>
    <row r="106" spans="1:5" ht="15.75" customHeight="1" x14ac:dyDescent="0.25">
      <c r="A106" s="28" t="s">
        <v>53</v>
      </c>
      <c r="B106" s="244" t="s">
        <v>133</v>
      </c>
      <c r="C106" s="237"/>
      <c r="D106" s="243"/>
      <c r="E106" s="27">
        <f>E84</f>
        <v>895.50358333333338</v>
      </c>
    </row>
    <row r="107" spans="1:5" ht="15.75" customHeight="1" x14ac:dyDescent="0.25">
      <c r="A107" s="303" t="s">
        <v>134</v>
      </c>
      <c r="B107" s="304"/>
      <c r="C107" s="304"/>
      <c r="D107" s="305"/>
      <c r="E107" s="82">
        <f>SUM(E102:E106)</f>
        <v>4655.3768346007419</v>
      </c>
    </row>
    <row r="108" spans="1:5" ht="15.75" customHeight="1" x14ac:dyDescent="0.25">
      <c r="A108" s="28" t="s">
        <v>55</v>
      </c>
      <c r="B108" s="300" t="s">
        <v>141</v>
      </c>
      <c r="C108" s="237"/>
      <c r="D108" s="243"/>
      <c r="E108" s="27">
        <f>+E100</f>
        <v>1316.1931121283967</v>
      </c>
    </row>
    <row r="109" spans="1:5" ht="15.75" customHeight="1" thickBot="1" x14ac:dyDescent="0.3">
      <c r="A109" s="254" t="s">
        <v>135</v>
      </c>
      <c r="B109" s="255"/>
      <c r="C109" s="255"/>
      <c r="D109" s="256"/>
      <c r="E109" s="83">
        <f>+E107+E108</f>
        <v>5971.5699467291388</v>
      </c>
    </row>
    <row r="110" spans="1:5" ht="15.75" customHeight="1" thickBot="1" x14ac:dyDescent="0.3">
      <c r="A110" s="65"/>
      <c r="B110" s="66"/>
      <c r="C110" s="66"/>
      <c r="D110" s="66"/>
      <c r="E110" s="67"/>
    </row>
    <row r="111" spans="1:5" ht="15.75" customHeight="1" x14ac:dyDescent="0.25">
      <c r="A111" s="224" t="s">
        <v>375</v>
      </c>
      <c r="B111" s="225"/>
      <c r="C111" s="225"/>
      <c r="D111" s="225"/>
      <c r="E111" s="226"/>
    </row>
    <row r="112" spans="1:5" ht="15.75" customHeight="1" x14ac:dyDescent="0.25">
      <c r="A112" s="227"/>
      <c r="B112" s="228"/>
      <c r="C112" s="228"/>
      <c r="D112" s="228"/>
      <c r="E112" s="229"/>
    </row>
    <row r="113" spans="1:5" ht="15" customHeight="1" x14ac:dyDescent="0.25">
      <c r="A113" s="227"/>
      <c r="B113" s="228"/>
      <c r="C113" s="228"/>
      <c r="D113" s="228"/>
      <c r="E113" s="229"/>
    </row>
    <row r="114" spans="1:5" ht="15" customHeight="1" thickBot="1" x14ac:dyDescent="0.3">
      <c r="A114" s="230"/>
      <c r="B114" s="231"/>
      <c r="C114" s="231"/>
      <c r="D114" s="231"/>
      <c r="E114" s="232"/>
    </row>
  </sheetData>
  <mergeCells count="99">
    <mergeCell ref="C6:E6"/>
    <mergeCell ref="A1:E1"/>
    <mergeCell ref="A2:E2"/>
    <mergeCell ref="C3:E3"/>
    <mergeCell ref="C4:E4"/>
    <mergeCell ref="C5:E5"/>
    <mergeCell ref="C21:D21"/>
    <mergeCell ref="A7:E7"/>
    <mergeCell ref="A8:E8"/>
    <mergeCell ref="A9:E9"/>
    <mergeCell ref="A10:D10"/>
    <mergeCell ref="C11:E11"/>
    <mergeCell ref="C13:E13"/>
    <mergeCell ref="C14:E14"/>
    <mergeCell ref="A15:E15"/>
    <mergeCell ref="B16:D16"/>
    <mergeCell ref="C17:D17"/>
    <mergeCell ref="C20:D20"/>
    <mergeCell ref="B35:C35"/>
    <mergeCell ref="C22:D22"/>
    <mergeCell ref="A23:D23"/>
    <mergeCell ref="A24:E24"/>
    <mergeCell ref="B25:D25"/>
    <mergeCell ref="A28:C28"/>
    <mergeCell ref="A29:E29"/>
    <mergeCell ref="B30:D30"/>
    <mergeCell ref="B31:C31"/>
    <mergeCell ref="B32:C32"/>
    <mergeCell ref="B33:C33"/>
    <mergeCell ref="B34:C34"/>
    <mergeCell ref="A47:D47"/>
    <mergeCell ref="B36:C36"/>
    <mergeCell ref="B37:C37"/>
    <mergeCell ref="B38:C38"/>
    <mergeCell ref="A39:C39"/>
    <mergeCell ref="B40:D40"/>
    <mergeCell ref="B41:C41"/>
    <mergeCell ref="B42:C42"/>
    <mergeCell ref="B43:C43"/>
    <mergeCell ref="B44:C44"/>
    <mergeCell ref="B45:C45"/>
    <mergeCell ref="A46:D46"/>
    <mergeCell ref="A59:C59"/>
    <mergeCell ref="B48:D48"/>
    <mergeCell ref="B49:D49"/>
    <mergeCell ref="B50:D50"/>
    <mergeCell ref="A51:D51"/>
    <mergeCell ref="A52:E52"/>
    <mergeCell ref="B53:D53"/>
    <mergeCell ref="B54:C54"/>
    <mergeCell ref="B55:C55"/>
    <mergeCell ref="B56:C56"/>
    <mergeCell ref="B57:C57"/>
    <mergeCell ref="B58:C58"/>
    <mergeCell ref="B71:C71"/>
    <mergeCell ref="A60:E60"/>
    <mergeCell ref="B61:D61"/>
    <mergeCell ref="B62:C62"/>
    <mergeCell ref="B63:C63"/>
    <mergeCell ref="B64:C64"/>
    <mergeCell ref="B65:C65"/>
    <mergeCell ref="B66:C66"/>
    <mergeCell ref="B67:C67"/>
    <mergeCell ref="A68:C68"/>
    <mergeCell ref="A69:D69"/>
    <mergeCell ref="B70:D70"/>
    <mergeCell ref="B83:D83"/>
    <mergeCell ref="A72:C72"/>
    <mergeCell ref="A73:E73"/>
    <mergeCell ref="B74:D74"/>
    <mergeCell ref="B75:C75"/>
    <mergeCell ref="B76:C76"/>
    <mergeCell ref="A77:C77"/>
    <mergeCell ref="A78:D78"/>
    <mergeCell ref="B79:D79"/>
    <mergeCell ref="B80:D80"/>
    <mergeCell ref="B81:D81"/>
    <mergeCell ref="B82:D82"/>
    <mergeCell ref="A101:D101"/>
    <mergeCell ref="A84:D84"/>
    <mergeCell ref="A85:B85"/>
    <mergeCell ref="C85:D85"/>
    <mergeCell ref="A86:D86"/>
    <mergeCell ref="A87:D87"/>
    <mergeCell ref="B88:D88"/>
    <mergeCell ref="C89:D89"/>
    <mergeCell ref="C90:D90"/>
    <mergeCell ref="A91:A98"/>
    <mergeCell ref="B91:C91"/>
    <mergeCell ref="A100:D100"/>
    <mergeCell ref="A111:E114"/>
    <mergeCell ref="B108:D108"/>
    <mergeCell ref="A109:D109"/>
    <mergeCell ref="B102:D102"/>
    <mergeCell ref="B103:D103"/>
    <mergeCell ref="B104:D104"/>
    <mergeCell ref="B105:D105"/>
    <mergeCell ref="B106:D106"/>
    <mergeCell ref="A107:D107"/>
  </mergeCells>
  <hyperlinks>
    <hyperlink ref="B38" r:id="rId1" xr:uid="{00000000-0004-0000-0500-000000000000}"/>
  </hyperlinks>
  <pageMargins left="0.511811024" right="0.511811024" top="0.78740157499999996" bottom="0.78740157499999996" header="0.31496062000000002" footer="0.31496062000000002"/>
  <pageSetup paperSize="9" scale="40" orientation="portrait" r:id="rId2"/>
  <rowBreaks count="1" manualBreakCount="1">
    <brk id="46" max="4" man="1"/>
  </rowBreaks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5AAE03-23F6-46AF-B162-33E4E1F267D5}">
  <sheetPr>
    <pageSetUpPr fitToPage="1"/>
  </sheetPr>
  <dimension ref="A1:K116"/>
  <sheetViews>
    <sheetView showGridLines="0" view="pageBreakPreview" topLeftCell="A93" zoomScaleNormal="100" zoomScaleSheetLayoutView="100" workbookViewId="0">
      <selection activeCell="L117" sqref="L117"/>
    </sheetView>
  </sheetViews>
  <sheetFormatPr defaultColWidth="14.42578125" defaultRowHeight="15" customHeight="1" x14ac:dyDescent="0.25"/>
  <cols>
    <col min="1" max="1" width="5.5703125" customWidth="1"/>
    <col min="2" max="2" width="45.7109375" customWidth="1"/>
    <col min="3" max="3" width="23.140625" customWidth="1"/>
    <col min="4" max="4" width="21.85546875" customWidth="1"/>
    <col min="5" max="5" width="22.140625" customWidth="1"/>
    <col min="6" max="10" width="8.7109375" customWidth="1"/>
    <col min="11" max="11" width="11.140625" customWidth="1"/>
    <col min="12" max="26" width="8.7109375" customWidth="1"/>
  </cols>
  <sheetData>
    <row r="1" spans="1:6" ht="15.75" thickBot="1" x14ac:dyDescent="0.3">
      <c r="A1" s="312" t="s">
        <v>155</v>
      </c>
      <c r="B1" s="313"/>
      <c r="C1" s="313"/>
      <c r="D1" s="313"/>
      <c r="E1" s="314"/>
    </row>
    <row r="2" spans="1:6" x14ac:dyDescent="0.25">
      <c r="A2" s="282" t="s">
        <v>143</v>
      </c>
      <c r="B2" s="283"/>
      <c r="C2" s="283"/>
      <c r="D2" s="283"/>
      <c r="E2" s="284"/>
    </row>
    <row r="3" spans="1:6" x14ac:dyDescent="0.25">
      <c r="A3" s="16" t="s">
        <v>29</v>
      </c>
      <c r="B3" s="22" t="s">
        <v>30</v>
      </c>
      <c r="C3" s="285"/>
      <c r="D3" s="237"/>
      <c r="E3" s="238"/>
    </row>
    <row r="4" spans="1:6" x14ac:dyDescent="0.25">
      <c r="A4" s="16" t="s">
        <v>31</v>
      </c>
      <c r="B4" s="22" t="s">
        <v>1</v>
      </c>
      <c r="C4" s="286" t="s">
        <v>32</v>
      </c>
      <c r="D4" s="237"/>
      <c r="E4" s="238"/>
      <c r="F4" s="17"/>
    </row>
    <row r="5" spans="1:6" ht="25.5" x14ac:dyDescent="0.25">
      <c r="A5" s="16" t="s">
        <v>33</v>
      </c>
      <c r="B5" s="22" t="s">
        <v>34</v>
      </c>
      <c r="C5" s="286" t="str">
        <f>DADOS!C15</f>
        <v>RO000003/2025</v>
      </c>
      <c r="D5" s="237"/>
      <c r="E5" s="238"/>
    </row>
    <row r="6" spans="1:6" x14ac:dyDescent="0.25">
      <c r="A6" s="16" t="s">
        <v>35</v>
      </c>
      <c r="B6" s="22" t="s">
        <v>36</v>
      </c>
      <c r="C6" s="286">
        <v>12</v>
      </c>
      <c r="D6" s="237"/>
      <c r="E6" s="238"/>
    </row>
    <row r="7" spans="1:6" x14ac:dyDescent="0.25">
      <c r="A7" s="287" t="s">
        <v>37</v>
      </c>
      <c r="B7" s="237"/>
      <c r="C7" s="237"/>
      <c r="D7" s="237"/>
      <c r="E7" s="238"/>
      <c r="F7" s="18"/>
    </row>
    <row r="8" spans="1:6" x14ac:dyDescent="0.25">
      <c r="A8" s="290" t="s">
        <v>38</v>
      </c>
      <c r="B8" s="291"/>
      <c r="C8" s="291"/>
      <c r="D8" s="291"/>
      <c r="E8" s="292"/>
      <c r="F8" s="19"/>
    </row>
    <row r="9" spans="1:6" x14ac:dyDescent="0.25">
      <c r="A9" s="263" t="s">
        <v>39</v>
      </c>
      <c r="B9" s="293"/>
      <c r="C9" s="293"/>
      <c r="D9" s="293"/>
      <c r="E9" s="294"/>
      <c r="F9" s="18"/>
    </row>
    <row r="10" spans="1:6" x14ac:dyDescent="0.25">
      <c r="A10" s="295" t="s">
        <v>40</v>
      </c>
      <c r="B10" s="237"/>
      <c r="C10" s="237"/>
      <c r="D10" s="243"/>
      <c r="E10" s="20" t="s">
        <v>41</v>
      </c>
      <c r="F10" s="19"/>
    </row>
    <row r="11" spans="1:6" ht="27.75" customHeight="1" x14ac:dyDescent="0.25">
      <c r="A11" s="16">
        <v>1</v>
      </c>
      <c r="B11" s="21" t="s">
        <v>42</v>
      </c>
      <c r="C11" s="296" t="s">
        <v>43</v>
      </c>
      <c r="D11" s="237"/>
      <c r="E11" s="238"/>
      <c r="F11" s="19"/>
    </row>
    <row r="12" spans="1:6" x14ac:dyDescent="0.25">
      <c r="A12" s="16">
        <v>2</v>
      </c>
      <c r="B12" s="22" t="s">
        <v>44</v>
      </c>
      <c r="C12" s="23"/>
      <c r="D12" s="24"/>
      <c r="E12" s="25">
        <f>DADOS!C19</f>
        <v>1743.48</v>
      </c>
      <c r="F12" s="19"/>
    </row>
    <row r="13" spans="1:6" ht="25.5" x14ac:dyDescent="0.25">
      <c r="A13" s="16">
        <v>3</v>
      </c>
      <c r="B13" s="22" t="s">
        <v>45</v>
      </c>
      <c r="C13" s="296" t="s">
        <v>365</v>
      </c>
      <c r="D13" s="297"/>
      <c r="E13" s="298"/>
      <c r="F13" s="19"/>
    </row>
    <row r="14" spans="1:6" x14ac:dyDescent="0.25">
      <c r="A14" s="16">
        <v>4</v>
      </c>
      <c r="B14" s="26" t="s">
        <v>46</v>
      </c>
      <c r="C14" s="299" t="str">
        <f>DADOS!C14</f>
        <v>01/01/2025 A 31/12/2025</v>
      </c>
      <c r="D14" s="237"/>
      <c r="E14" s="238"/>
      <c r="F14" s="19"/>
    </row>
    <row r="15" spans="1:6" x14ac:dyDescent="0.25">
      <c r="A15" s="276" t="s">
        <v>47</v>
      </c>
      <c r="B15" s="277"/>
      <c r="C15" s="277"/>
      <c r="D15" s="277"/>
      <c r="E15" s="278"/>
      <c r="F15" s="19"/>
    </row>
    <row r="16" spans="1:6" x14ac:dyDescent="0.25">
      <c r="A16" s="28">
        <v>1</v>
      </c>
      <c r="B16" s="244" t="s">
        <v>48</v>
      </c>
      <c r="C16" s="237"/>
      <c r="D16" s="243"/>
      <c r="E16" s="29" t="s">
        <v>41</v>
      </c>
      <c r="F16" s="19"/>
    </row>
    <row r="17" spans="1:6" x14ac:dyDescent="0.25">
      <c r="A17" s="30" t="s">
        <v>29</v>
      </c>
      <c r="B17" s="31" t="s">
        <v>49</v>
      </c>
      <c r="C17" s="288"/>
      <c r="D17" s="243"/>
      <c r="E17" s="32">
        <f>+E12</f>
        <v>1743.48</v>
      </c>
      <c r="F17" s="19"/>
    </row>
    <row r="18" spans="1:6" x14ac:dyDescent="0.25">
      <c r="A18" s="30" t="s">
        <v>31</v>
      </c>
      <c r="B18" s="31" t="s">
        <v>50</v>
      </c>
      <c r="C18" s="33">
        <v>0</v>
      </c>
      <c r="D18" s="74">
        <f>E17</f>
        <v>1743.48</v>
      </c>
      <c r="E18" s="27">
        <f>E17*C18</f>
        <v>0</v>
      </c>
      <c r="F18" s="19"/>
    </row>
    <row r="19" spans="1:6" x14ac:dyDescent="0.25">
      <c r="A19" s="30" t="s">
        <v>33</v>
      </c>
      <c r="B19" s="34" t="s">
        <v>51</v>
      </c>
      <c r="C19" s="33">
        <v>0.4</v>
      </c>
      <c r="D19" s="74">
        <f>DADOS!C18</f>
        <v>1518</v>
      </c>
      <c r="E19" s="27">
        <f>D19*C19</f>
        <v>607.20000000000005</v>
      </c>
      <c r="F19" s="19"/>
    </row>
    <row r="20" spans="1:6" x14ac:dyDescent="0.25">
      <c r="A20" s="30" t="s">
        <v>35</v>
      </c>
      <c r="B20" s="31" t="s">
        <v>52</v>
      </c>
      <c r="C20" s="272">
        <v>0</v>
      </c>
      <c r="D20" s="289"/>
      <c r="E20" s="27">
        <f>(E17+E18+E19)*C20*(7/12)</f>
        <v>0</v>
      </c>
      <c r="F20" s="19"/>
    </row>
    <row r="21" spans="1:6" ht="24" customHeight="1" x14ac:dyDescent="0.25">
      <c r="A21" s="30" t="s">
        <v>53</v>
      </c>
      <c r="B21" s="31" t="s">
        <v>54</v>
      </c>
      <c r="C21" s="272"/>
      <c r="D21" s="243"/>
      <c r="E21" s="27">
        <f>(E17+E18+E19)*(1/12)*(1+C20)*0</f>
        <v>0</v>
      </c>
      <c r="F21" s="19"/>
    </row>
    <row r="22" spans="1:6" ht="15.75" customHeight="1" x14ac:dyDescent="0.25">
      <c r="A22" s="30" t="s">
        <v>55</v>
      </c>
      <c r="B22" s="35" t="s">
        <v>56</v>
      </c>
      <c r="C22" s="273"/>
      <c r="D22" s="243"/>
      <c r="E22" s="27">
        <v>0</v>
      </c>
      <c r="F22" s="19"/>
    </row>
    <row r="23" spans="1:6" ht="15.75" customHeight="1" x14ac:dyDescent="0.25">
      <c r="A23" s="239" t="s">
        <v>57</v>
      </c>
      <c r="B23" s="240"/>
      <c r="C23" s="240"/>
      <c r="D23" s="241"/>
      <c r="E23" s="77">
        <f>SUM(E17:E22)</f>
        <v>2350.6800000000003</v>
      </c>
      <c r="F23" s="19"/>
    </row>
    <row r="24" spans="1:6" ht="15.75" customHeight="1" x14ac:dyDescent="0.25">
      <c r="A24" s="276" t="s">
        <v>58</v>
      </c>
      <c r="B24" s="277"/>
      <c r="C24" s="277"/>
      <c r="D24" s="277"/>
      <c r="E24" s="278"/>
      <c r="F24" s="18"/>
    </row>
    <row r="25" spans="1:6" ht="15.75" customHeight="1" x14ac:dyDescent="0.25">
      <c r="A25" s="28" t="s">
        <v>59</v>
      </c>
      <c r="B25" s="244" t="s">
        <v>60</v>
      </c>
      <c r="C25" s="237"/>
      <c r="D25" s="243"/>
      <c r="E25" s="29" t="s">
        <v>41</v>
      </c>
      <c r="F25" s="19"/>
    </row>
    <row r="26" spans="1:6" ht="15.75" customHeight="1" x14ac:dyDescent="0.25">
      <c r="A26" s="30" t="s">
        <v>29</v>
      </c>
      <c r="B26" s="37" t="s">
        <v>61</v>
      </c>
      <c r="C26" s="26"/>
      <c r="D26" s="38">
        <f>1/12</f>
        <v>8.3333333333333329E-2</v>
      </c>
      <c r="E26" s="27">
        <f>($E$23*D26)</f>
        <v>195.89000000000001</v>
      </c>
      <c r="F26" s="19"/>
    </row>
    <row r="27" spans="1:6" ht="15.75" customHeight="1" x14ac:dyDescent="0.25">
      <c r="A27" s="30" t="s">
        <v>31</v>
      </c>
      <c r="B27" s="37" t="s">
        <v>62</v>
      </c>
      <c r="C27" s="26"/>
      <c r="D27" s="38">
        <v>0.1111</v>
      </c>
      <c r="E27" s="27">
        <f>($E$23*D27)</f>
        <v>261.16054800000006</v>
      </c>
      <c r="F27" s="19"/>
    </row>
    <row r="28" spans="1:6" ht="15.75" customHeight="1" x14ac:dyDescent="0.25">
      <c r="A28" s="239" t="s">
        <v>28</v>
      </c>
      <c r="B28" s="240"/>
      <c r="C28" s="241"/>
      <c r="D28" s="78">
        <f>SUM(D26:D27)</f>
        <v>0.19443333333333335</v>
      </c>
      <c r="E28" s="77">
        <f>SUM(E26:E27)</f>
        <v>457.05054800000005</v>
      </c>
      <c r="F28" s="19"/>
    </row>
    <row r="29" spans="1:6" ht="26.25" customHeight="1" x14ac:dyDescent="0.25">
      <c r="A29" s="253" t="s">
        <v>63</v>
      </c>
      <c r="B29" s="237"/>
      <c r="C29" s="237"/>
      <c r="D29" s="237"/>
      <c r="E29" s="238"/>
      <c r="F29" s="19"/>
    </row>
    <row r="30" spans="1:6" ht="15.75" customHeight="1" x14ac:dyDescent="0.25">
      <c r="A30" s="28" t="s">
        <v>64</v>
      </c>
      <c r="B30" s="244" t="s">
        <v>65</v>
      </c>
      <c r="C30" s="237"/>
      <c r="D30" s="243"/>
      <c r="E30" s="29" t="s">
        <v>41</v>
      </c>
      <c r="F30" s="19"/>
    </row>
    <row r="31" spans="1:6" ht="15.75" customHeight="1" x14ac:dyDescent="0.25">
      <c r="A31" s="30" t="s">
        <v>29</v>
      </c>
      <c r="B31" s="251" t="s">
        <v>66</v>
      </c>
      <c r="C31" s="252"/>
      <c r="D31" s="38">
        <v>0.2</v>
      </c>
      <c r="E31" s="27">
        <f>(E23+E28)*D31</f>
        <v>561.54610960000014</v>
      </c>
      <c r="F31" s="19"/>
    </row>
    <row r="32" spans="1:6" ht="15.75" customHeight="1" x14ac:dyDescent="0.25">
      <c r="A32" s="30" t="s">
        <v>31</v>
      </c>
      <c r="B32" s="251" t="s">
        <v>67</v>
      </c>
      <c r="C32" s="252"/>
      <c r="D32" s="38">
        <v>1.4999999999999999E-2</v>
      </c>
      <c r="E32" s="27">
        <f>(E23+E28)*D32</f>
        <v>42.115958220000003</v>
      </c>
      <c r="F32" s="19"/>
    </row>
    <row r="33" spans="1:6" ht="15.75" customHeight="1" x14ac:dyDescent="0.25">
      <c r="A33" s="30" t="s">
        <v>33</v>
      </c>
      <c r="B33" s="251" t="s">
        <v>138</v>
      </c>
      <c r="C33" s="252"/>
      <c r="D33" s="38">
        <v>0.01</v>
      </c>
      <c r="E33" s="27">
        <f>(E23+E28)*D33</f>
        <v>28.077305480000007</v>
      </c>
      <c r="F33" s="19"/>
    </row>
    <row r="34" spans="1:6" ht="15.75" customHeight="1" x14ac:dyDescent="0.25">
      <c r="A34" s="30" t="s">
        <v>35</v>
      </c>
      <c r="B34" s="251" t="s">
        <v>68</v>
      </c>
      <c r="C34" s="252"/>
      <c r="D34" s="38">
        <v>2E-3</v>
      </c>
      <c r="E34" s="27">
        <f>(E23+E28)*D34</f>
        <v>5.6154610960000007</v>
      </c>
      <c r="F34" s="19"/>
    </row>
    <row r="35" spans="1:6" ht="15.75" customHeight="1" x14ac:dyDescent="0.25">
      <c r="A35" s="30" t="s">
        <v>53</v>
      </c>
      <c r="B35" s="251" t="s">
        <v>139</v>
      </c>
      <c r="C35" s="252"/>
      <c r="D35" s="38">
        <v>2.5000000000000001E-2</v>
      </c>
      <c r="E35" s="27">
        <f>(E23+E28)*D35</f>
        <v>70.193263700000017</v>
      </c>
      <c r="F35" s="19"/>
    </row>
    <row r="36" spans="1:6" ht="15.75" customHeight="1" x14ac:dyDescent="0.25">
      <c r="A36" s="30" t="s">
        <v>55</v>
      </c>
      <c r="B36" s="251" t="s">
        <v>69</v>
      </c>
      <c r="C36" s="252"/>
      <c r="D36" s="38">
        <v>0.08</v>
      </c>
      <c r="E36" s="27">
        <f>(E23+E28)*D36</f>
        <v>224.61844384000005</v>
      </c>
      <c r="F36" s="19"/>
    </row>
    <row r="37" spans="1:6" ht="15.75" customHeight="1" x14ac:dyDescent="0.25">
      <c r="A37" s="30" t="s">
        <v>70</v>
      </c>
      <c r="B37" s="251" t="s">
        <v>71</v>
      </c>
      <c r="C37" s="252"/>
      <c r="D37" s="38">
        <v>0.03</v>
      </c>
      <c r="E37" s="27">
        <f>(E23+E28)*D37</f>
        <v>84.231916440000006</v>
      </c>
      <c r="F37" s="19"/>
    </row>
    <row r="38" spans="1:6" ht="15.75" customHeight="1" x14ac:dyDescent="0.25">
      <c r="A38" s="40" t="s">
        <v>72</v>
      </c>
      <c r="B38" s="274" t="s">
        <v>73</v>
      </c>
      <c r="C38" s="275"/>
      <c r="D38" s="41">
        <v>6.0000000000000001E-3</v>
      </c>
      <c r="E38" s="36">
        <f>(E23+E28)*D38</f>
        <v>16.846383288000002</v>
      </c>
      <c r="F38" s="18"/>
    </row>
    <row r="39" spans="1:6" ht="15.75" customHeight="1" x14ac:dyDescent="0.25">
      <c r="A39" s="239" t="s">
        <v>28</v>
      </c>
      <c r="B39" s="240"/>
      <c r="C39" s="241"/>
      <c r="D39" s="78">
        <f t="shared" ref="D39" si="0">SUM(D31:D38)</f>
        <v>0.3680000000000001</v>
      </c>
      <c r="E39" s="77">
        <f>SUM(E31:E38)</f>
        <v>1033.2448416640002</v>
      </c>
      <c r="F39" s="19"/>
    </row>
    <row r="40" spans="1:6" ht="15.75" customHeight="1" x14ac:dyDescent="0.25">
      <c r="A40" s="28" t="s">
        <v>74</v>
      </c>
      <c r="B40" s="244" t="s">
        <v>75</v>
      </c>
      <c r="C40" s="237"/>
      <c r="D40" s="243"/>
      <c r="E40" s="29" t="s">
        <v>41</v>
      </c>
      <c r="F40" s="19"/>
    </row>
    <row r="41" spans="1:6" ht="15.75" customHeight="1" x14ac:dyDescent="0.25">
      <c r="A41" s="30" t="s">
        <v>29</v>
      </c>
      <c r="B41" s="271" t="s">
        <v>76</v>
      </c>
      <c r="C41" s="243"/>
      <c r="D41" s="42">
        <f>DADOS!C21</f>
        <v>3</v>
      </c>
      <c r="E41" s="32">
        <f>DADOS!C22</f>
        <v>139.72</v>
      </c>
      <c r="F41" s="19"/>
    </row>
    <row r="42" spans="1:6" ht="15.75" customHeight="1" x14ac:dyDescent="0.25">
      <c r="A42" s="30" t="s">
        <v>31</v>
      </c>
      <c r="B42" s="271" t="s">
        <v>77</v>
      </c>
      <c r="C42" s="243"/>
      <c r="D42" s="43">
        <f>DADOS!C20</f>
        <v>626.94000000000005</v>
      </c>
      <c r="E42" s="32">
        <f>(D42)-(D42*0.99%)</f>
        <v>620.733294</v>
      </c>
      <c r="F42" s="19"/>
    </row>
    <row r="43" spans="1:6" ht="15.75" customHeight="1" x14ac:dyDescent="0.25">
      <c r="A43" s="30" t="s">
        <v>33</v>
      </c>
      <c r="B43" s="271" t="s">
        <v>78</v>
      </c>
      <c r="C43" s="243"/>
      <c r="D43" s="44"/>
      <c r="E43" s="32">
        <v>0</v>
      </c>
      <c r="F43" s="19"/>
    </row>
    <row r="44" spans="1:6" ht="15.75" customHeight="1" x14ac:dyDescent="0.25">
      <c r="A44" s="30" t="s">
        <v>35</v>
      </c>
      <c r="B44" s="271" t="s">
        <v>79</v>
      </c>
      <c r="C44" s="243"/>
      <c r="D44" s="45">
        <v>0.5</v>
      </c>
      <c r="E44" s="27">
        <f>(((E12*50%)*0.0199)*2)/12</f>
        <v>2.8912710000000001</v>
      </c>
      <c r="F44" s="19"/>
    </row>
    <row r="45" spans="1:6" ht="24" customHeight="1" x14ac:dyDescent="0.25">
      <c r="A45" s="70" t="s">
        <v>53</v>
      </c>
      <c r="B45" s="268" t="s">
        <v>360</v>
      </c>
      <c r="C45" s="261"/>
      <c r="D45" s="71">
        <f>DADOS!C23</f>
        <v>37425.03</v>
      </c>
      <c r="E45" s="60">
        <v>20.93</v>
      </c>
      <c r="F45" s="19"/>
    </row>
    <row r="46" spans="1:6" ht="15.75" customHeight="1" x14ac:dyDescent="0.25">
      <c r="A46" s="269" t="s">
        <v>81</v>
      </c>
      <c r="B46" s="270"/>
      <c r="C46" s="270"/>
      <c r="D46" s="270"/>
      <c r="E46" s="79">
        <f>SUM(E41:E45)</f>
        <v>784.27456499999994</v>
      </c>
      <c r="F46" s="19"/>
    </row>
    <row r="47" spans="1:6" ht="15.75" customHeight="1" x14ac:dyDescent="0.25">
      <c r="A47" s="233" t="s">
        <v>82</v>
      </c>
      <c r="B47" s="234"/>
      <c r="C47" s="234"/>
      <c r="D47" s="234"/>
      <c r="E47" s="235"/>
      <c r="F47" s="19"/>
    </row>
    <row r="48" spans="1:6" ht="15.75" customHeight="1" x14ac:dyDescent="0.25">
      <c r="A48" s="28" t="s">
        <v>59</v>
      </c>
      <c r="B48" s="245" t="s">
        <v>83</v>
      </c>
      <c r="C48" s="246"/>
      <c r="D48" s="247"/>
      <c r="E48" s="29">
        <f>E28</f>
        <v>457.05054800000005</v>
      </c>
      <c r="F48" s="19"/>
    </row>
    <row r="49" spans="1:11" ht="15.75" customHeight="1" x14ac:dyDescent="0.25">
      <c r="A49" s="28" t="s">
        <v>64</v>
      </c>
      <c r="B49" s="248" t="s">
        <v>84</v>
      </c>
      <c r="C49" s="249"/>
      <c r="D49" s="250"/>
      <c r="E49" s="27">
        <f>E39</f>
        <v>1033.2448416640002</v>
      </c>
      <c r="F49" s="19"/>
      <c r="G49" s="19"/>
    </row>
    <row r="50" spans="1:11" ht="15.75" customHeight="1" x14ac:dyDescent="0.25">
      <c r="A50" s="28" t="s">
        <v>74</v>
      </c>
      <c r="B50" s="248" t="s">
        <v>85</v>
      </c>
      <c r="C50" s="249"/>
      <c r="D50" s="250"/>
      <c r="E50" s="27">
        <f>E46</f>
        <v>784.27456499999994</v>
      </c>
      <c r="F50" s="19"/>
      <c r="G50" s="19"/>
    </row>
    <row r="51" spans="1:11" ht="15.75" customHeight="1" x14ac:dyDescent="0.25">
      <c r="A51" s="257" t="s">
        <v>28</v>
      </c>
      <c r="B51" s="258"/>
      <c r="C51" s="258"/>
      <c r="D51" s="259"/>
      <c r="E51" s="77">
        <f>SUM(E48:E50)</f>
        <v>2274.5699546639999</v>
      </c>
      <c r="F51" s="19"/>
      <c r="G51" s="19"/>
    </row>
    <row r="52" spans="1:11" ht="15.75" customHeight="1" x14ac:dyDescent="0.25">
      <c r="A52" s="276" t="s">
        <v>86</v>
      </c>
      <c r="B52" s="277"/>
      <c r="C52" s="277"/>
      <c r="D52" s="277"/>
      <c r="E52" s="278"/>
      <c r="F52" s="19"/>
      <c r="G52" s="19"/>
    </row>
    <row r="53" spans="1:11" ht="15.75" customHeight="1" x14ac:dyDescent="0.25">
      <c r="A53" s="28" t="s">
        <v>87</v>
      </c>
      <c r="B53" s="244" t="s">
        <v>88</v>
      </c>
      <c r="C53" s="237"/>
      <c r="D53" s="243"/>
      <c r="E53" s="29" t="s">
        <v>41</v>
      </c>
      <c r="F53" s="19"/>
      <c r="G53" s="19"/>
    </row>
    <row r="54" spans="1:11" ht="21.75" customHeight="1" x14ac:dyDescent="0.25">
      <c r="A54" s="253" t="s">
        <v>147</v>
      </c>
      <c r="B54" s="237"/>
      <c r="C54" s="237"/>
      <c r="D54" s="237"/>
      <c r="E54" s="238"/>
      <c r="F54" s="19"/>
      <c r="G54" s="19"/>
    </row>
    <row r="55" spans="1:11" ht="15.75" customHeight="1" x14ac:dyDescent="0.25">
      <c r="A55" s="30" t="s">
        <v>29</v>
      </c>
      <c r="B55" s="248" t="s">
        <v>89</v>
      </c>
      <c r="C55" s="250"/>
      <c r="D55" s="38">
        <f>(1/12)*0.055</f>
        <v>4.5833333333333334E-3</v>
      </c>
      <c r="E55" s="27">
        <f>ROUND(+D55*$E$23,2)</f>
        <v>10.77</v>
      </c>
      <c r="F55" s="19"/>
      <c r="G55" s="19"/>
    </row>
    <row r="56" spans="1:11" ht="15.75" customHeight="1" x14ac:dyDescent="0.25">
      <c r="A56" s="30" t="s">
        <v>31</v>
      </c>
      <c r="B56" s="248" t="s">
        <v>90</v>
      </c>
      <c r="C56" s="250"/>
      <c r="D56" s="38">
        <f>D36*D55</f>
        <v>3.6666666666666667E-4</v>
      </c>
      <c r="E56" s="27">
        <f t="shared" ref="E56:E57" si="1">ROUND(+D56*$E$23,2)</f>
        <v>0.86</v>
      </c>
      <c r="F56" s="19"/>
      <c r="G56" s="19"/>
      <c r="K56" s="1"/>
    </row>
    <row r="57" spans="1:11" ht="15.75" customHeight="1" x14ac:dyDescent="0.25">
      <c r="A57" s="30" t="s">
        <v>35</v>
      </c>
      <c r="B57" s="251" t="s">
        <v>91</v>
      </c>
      <c r="C57" s="252"/>
      <c r="D57" s="38">
        <v>1.9400000000000001E-2</v>
      </c>
      <c r="E57" s="27">
        <f t="shared" si="1"/>
        <v>45.6</v>
      </c>
      <c r="F57" s="19"/>
      <c r="G57" s="19"/>
    </row>
    <row r="58" spans="1:11" x14ac:dyDescent="0.25">
      <c r="A58" s="30" t="s">
        <v>53</v>
      </c>
      <c r="B58" s="248" t="s">
        <v>92</v>
      </c>
      <c r="C58" s="250"/>
      <c r="D58" s="38">
        <f>D39*D57</f>
        <v>7.1392000000000027E-3</v>
      </c>
      <c r="E58" s="27">
        <f>D58*E23</f>
        <v>16.78197465600001</v>
      </c>
      <c r="F58" s="19"/>
      <c r="G58" s="19"/>
    </row>
    <row r="59" spans="1:11" x14ac:dyDescent="0.25">
      <c r="A59" s="30" t="s">
        <v>55</v>
      </c>
      <c r="B59" s="248" t="s">
        <v>93</v>
      </c>
      <c r="C59" s="250"/>
      <c r="D59" s="38">
        <v>0.04</v>
      </c>
      <c r="E59" s="27">
        <f>ROUND(+D59*$E$23,2)</f>
        <v>94.03</v>
      </c>
      <c r="F59" s="19"/>
      <c r="G59" s="19"/>
    </row>
    <row r="60" spans="1:11" ht="15.75" customHeight="1" x14ac:dyDescent="0.25">
      <c r="A60" s="239" t="s">
        <v>28</v>
      </c>
      <c r="B60" s="240"/>
      <c r="C60" s="267"/>
      <c r="D60" s="80">
        <f t="shared" ref="D60" si="2">SUM(D55:D59)</f>
        <v>7.1489200000000003E-2</v>
      </c>
      <c r="E60" s="77">
        <f>SUM(E55:E59)</f>
        <v>168.04197465600001</v>
      </c>
      <c r="F60" s="19"/>
      <c r="G60" s="19"/>
    </row>
    <row r="61" spans="1:11" ht="15.75" customHeight="1" x14ac:dyDescent="0.25">
      <c r="A61" s="276" t="s">
        <v>94</v>
      </c>
      <c r="B61" s="277"/>
      <c r="C61" s="277"/>
      <c r="D61" s="277"/>
      <c r="E61" s="278"/>
      <c r="F61" s="19"/>
      <c r="G61" s="19"/>
    </row>
    <row r="62" spans="1:11" ht="21" customHeight="1" x14ac:dyDescent="0.25">
      <c r="A62" s="236" t="s">
        <v>148</v>
      </c>
      <c r="B62" s="237"/>
      <c r="C62" s="237"/>
      <c r="D62" s="237"/>
      <c r="E62" s="238"/>
      <c r="F62" s="19"/>
      <c r="G62" s="19"/>
    </row>
    <row r="63" spans="1:11" ht="15.75" customHeight="1" x14ac:dyDescent="0.25">
      <c r="A63" s="28" t="s">
        <v>13</v>
      </c>
      <c r="B63" s="311" t="s">
        <v>95</v>
      </c>
      <c r="C63" s="237"/>
      <c r="D63" s="243"/>
      <c r="E63" s="29" t="s">
        <v>41</v>
      </c>
      <c r="F63" s="19"/>
      <c r="G63" s="19"/>
    </row>
    <row r="64" spans="1:11" ht="15.75" customHeight="1" x14ac:dyDescent="0.25">
      <c r="A64" s="30" t="s">
        <v>29</v>
      </c>
      <c r="B64" s="248" t="s">
        <v>96</v>
      </c>
      <c r="C64" s="250"/>
      <c r="D64" s="38">
        <f>((1+1/3)/12)/12</f>
        <v>9.2592592592592587E-3</v>
      </c>
      <c r="E64" s="27">
        <f t="shared" ref="E64:E69" si="3">($E$23+$E$51+$E$60+$E$82)*D64</f>
        <v>45.347179901111105</v>
      </c>
      <c r="F64" s="19"/>
      <c r="G64" s="47"/>
      <c r="K64" s="48"/>
    </row>
    <row r="65" spans="1:6" x14ac:dyDescent="0.25">
      <c r="A65" s="30" t="s">
        <v>31</v>
      </c>
      <c r="B65" s="248" t="s">
        <v>97</v>
      </c>
      <c r="C65" s="250"/>
      <c r="D65" s="38">
        <v>1.66E-2</v>
      </c>
      <c r="E65" s="27">
        <f>($E$23+$E$51+$E$60+$E$82)*D65</f>
        <v>81.298424126711993</v>
      </c>
      <c r="F65" s="19"/>
    </row>
    <row r="66" spans="1:6" ht="15.75" customHeight="1" x14ac:dyDescent="0.25">
      <c r="A66" s="30" t="s">
        <v>33</v>
      </c>
      <c r="B66" s="248" t="s">
        <v>98</v>
      </c>
      <c r="C66" s="250"/>
      <c r="D66" s="38">
        <f>(5/30)*(1/12)*3.24%*50%</f>
        <v>2.2500000000000002E-4</v>
      </c>
      <c r="E66" s="27">
        <f t="shared" si="3"/>
        <v>1.1019364715970001</v>
      </c>
      <c r="F66" s="19"/>
    </row>
    <row r="67" spans="1:6" ht="15.75" customHeight="1" x14ac:dyDescent="0.25">
      <c r="A67" s="30" t="s">
        <v>35</v>
      </c>
      <c r="B67" s="248" t="s">
        <v>99</v>
      </c>
      <c r="C67" s="250"/>
      <c r="D67" s="38">
        <f>(((15/30)/12)*(8%*100%))</f>
        <v>3.3333333333333331E-3</v>
      </c>
      <c r="E67" s="27">
        <f t="shared" si="3"/>
        <v>16.3249847644</v>
      </c>
      <c r="F67" s="19"/>
    </row>
    <row r="68" spans="1:6" ht="15.75" customHeight="1" x14ac:dyDescent="0.25">
      <c r="A68" s="30" t="s">
        <v>53</v>
      </c>
      <c r="B68" s="248" t="s">
        <v>100</v>
      </c>
      <c r="C68" s="250"/>
      <c r="D68" s="38">
        <f>((1+1/3)/12)*0.03*((4/12))</f>
        <v>1.1111111111111109E-3</v>
      </c>
      <c r="E68" s="27">
        <f t="shared" si="3"/>
        <v>5.4416615881333321</v>
      </c>
      <c r="F68" s="19"/>
    </row>
    <row r="69" spans="1:6" ht="15.75" customHeight="1" x14ac:dyDescent="0.25">
      <c r="A69" s="30" t="s">
        <v>55</v>
      </c>
      <c r="B69" s="248" t="s">
        <v>101</v>
      </c>
      <c r="C69" s="250"/>
      <c r="D69" s="38">
        <v>0</v>
      </c>
      <c r="E69" s="27">
        <f t="shared" si="3"/>
        <v>0</v>
      </c>
      <c r="F69" s="19"/>
    </row>
    <row r="70" spans="1:6" ht="15.75" customHeight="1" x14ac:dyDescent="0.25">
      <c r="A70" s="239" t="s">
        <v>102</v>
      </c>
      <c r="B70" s="240"/>
      <c r="C70" s="241"/>
      <c r="D70" s="80">
        <f t="shared" ref="D70" si="4">SUM(D64:D69)</f>
        <v>3.0528703703703704E-2</v>
      </c>
      <c r="E70" s="77">
        <f>SUM(E64:E69)</f>
        <v>149.51418685195344</v>
      </c>
      <c r="F70" s="19"/>
    </row>
    <row r="71" spans="1:6" ht="15.75" customHeight="1" x14ac:dyDescent="0.25">
      <c r="A71" s="242"/>
      <c r="B71" s="237"/>
      <c r="C71" s="237"/>
      <c r="D71" s="243"/>
      <c r="E71" s="27"/>
      <c r="F71" s="19"/>
    </row>
    <row r="72" spans="1:6" ht="15.75" customHeight="1" x14ac:dyDescent="0.25">
      <c r="A72" s="28" t="s">
        <v>21</v>
      </c>
      <c r="B72" s="244" t="s">
        <v>103</v>
      </c>
      <c r="C72" s="237"/>
      <c r="D72" s="243"/>
      <c r="E72" s="29" t="s">
        <v>41</v>
      </c>
      <c r="F72" s="19"/>
    </row>
    <row r="73" spans="1:6" ht="15.75" customHeight="1" x14ac:dyDescent="0.25">
      <c r="A73" s="30" t="s">
        <v>29</v>
      </c>
      <c r="B73" s="248" t="s">
        <v>104</v>
      </c>
      <c r="C73" s="250"/>
      <c r="D73" s="38">
        <v>0</v>
      </c>
      <c r="E73" s="27">
        <f>ROUND(+$E$24*D73,2)</f>
        <v>0</v>
      </c>
      <c r="F73" s="19"/>
    </row>
    <row r="74" spans="1:6" ht="15.75" customHeight="1" x14ac:dyDescent="0.25">
      <c r="A74" s="239" t="s">
        <v>28</v>
      </c>
      <c r="B74" s="240"/>
      <c r="C74" s="267"/>
      <c r="D74" s="78">
        <f t="shared" ref="D74:E74" si="5">D73</f>
        <v>0</v>
      </c>
      <c r="E74" s="77">
        <f t="shared" si="5"/>
        <v>0</v>
      </c>
      <c r="F74" s="19"/>
    </row>
    <row r="75" spans="1:6" ht="15.75" customHeight="1" x14ac:dyDescent="0.25">
      <c r="A75" s="276" t="s">
        <v>105</v>
      </c>
      <c r="B75" s="277"/>
      <c r="C75" s="277"/>
      <c r="D75" s="277"/>
      <c r="E75" s="278"/>
      <c r="F75" s="19"/>
    </row>
    <row r="76" spans="1:6" ht="15.75" customHeight="1" x14ac:dyDescent="0.25">
      <c r="A76" s="28">
        <v>4</v>
      </c>
      <c r="B76" s="244" t="s">
        <v>106</v>
      </c>
      <c r="C76" s="237"/>
      <c r="D76" s="243"/>
      <c r="E76" s="29" t="s">
        <v>41</v>
      </c>
      <c r="F76" s="19"/>
    </row>
    <row r="77" spans="1:6" ht="15.75" customHeight="1" x14ac:dyDescent="0.25">
      <c r="A77" s="30" t="s">
        <v>13</v>
      </c>
      <c r="B77" s="248" t="s">
        <v>95</v>
      </c>
      <c r="C77" s="250"/>
      <c r="D77" s="38">
        <f t="shared" ref="D77" si="6">D70</f>
        <v>3.0528703703703704E-2</v>
      </c>
      <c r="E77" s="27">
        <f>E70</f>
        <v>149.51418685195344</v>
      </c>
      <c r="F77" s="19"/>
    </row>
    <row r="78" spans="1:6" ht="15.75" customHeight="1" x14ac:dyDescent="0.25">
      <c r="A78" s="30" t="s">
        <v>14</v>
      </c>
      <c r="B78" s="248" t="s">
        <v>103</v>
      </c>
      <c r="C78" s="250"/>
      <c r="D78" s="38">
        <f t="shared" ref="D78:E78" si="7">D74</f>
        <v>0</v>
      </c>
      <c r="E78" s="27">
        <f t="shared" si="7"/>
        <v>0</v>
      </c>
      <c r="F78" s="19"/>
    </row>
    <row r="79" spans="1:6" ht="15.75" customHeight="1" x14ac:dyDescent="0.25">
      <c r="A79" s="239" t="s">
        <v>107</v>
      </c>
      <c r="B79" s="240"/>
      <c r="C79" s="241"/>
      <c r="D79" s="80">
        <f>SUM(D74:D78)</f>
        <v>3.0528703703703704E-2</v>
      </c>
      <c r="E79" s="77">
        <f>SUM(E77+E78)</f>
        <v>149.51418685195344</v>
      </c>
      <c r="F79" s="19"/>
    </row>
    <row r="80" spans="1:6" ht="15.75" customHeight="1" x14ac:dyDescent="0.25">
      <c r="A80" s="242" t="s">
        <v>108</v>
      </c>
      <c r="B80" s="237"/>
      <c r="C80" s="237"/>
      <c r="D80" s="243"/>
      <c r="E80" s="27"/>
      <c r="F80" s="19"/>
    </row>
    <row r="81" spans="1:5" ht="15.75" customHeight="1" x14ac:dyDescent="0.25">
      <c r="A81" s="28">
        <v>5</v>
      </c>
      <c r="B81" s="244" t="s">
        <v>109</v>
      </c>
      <c r="C81" s="237"/>
      <c r="D81" s="243"/>
      <c r="E81" s="29" t="s">
        <v>41</v>
      </c>
    </row>
    <row r="82" spans="1:5" ht="15.75" customHeight="1" x14ac:dyDescent="0.25">
      <c r="A82" s="30" t="s">
        <v>29</v>
      </c>
      <c r="B82" s="248" t="s">
        <v>110</v>
      </c>
      <c r="C82" s="249"/>
      <c r="D82" s="250"/>
      <c r="E82" s="27">
        <f>'CIAC - COM INSALUBRIDADE'!E82</f>
        <v>104.20349999999999</v>
      </c>
    </row>
    <row r="83" spans="1:5" ht="15.75" customHeight="1" x14ac:dyDescent="0.25">
      <c r="A83" s="30" t="s">
        <v>31</v>
      </c>
      <c r="B83" s="248" t="s">
        <v>111</v>
      </c>
      <c r="C83" s="249"/>
      <c r="D83" s="250"/>
      <c r="E83" s="27">
        <f>'CIAC - COM INSALUBRIDADE'!E83</f>
        <v>427.67758333333342</v>
      </c>
    </row>
    <row r="84" spans="1:5" ht="15.75" customHeight="1" x14ac:dyDescent="0.25">
      <c r="A84" s="30" t="s">
        <v>33</v>
      </c>
      <c r="B84" s="248" t="s">
        <v>112</v>
      </c>
      <c r="C84" s="249"/>
      <c r="D84" s="250"/>
      <c r="E84" s="27">
        <f>'CIAC - COM INSALUBRIDADE'!E84</f>
        <v>363.6225</v>
      </c>
    </row>
    <row r="85" spans="1:5" ht="15.75" customHeight="1" x14ac:dyDescent="0.25">
      <c r="A85" s="30" t="s">
        <v>35</v>
      </c>
      <c r="B85" s="248" t="s">
        <v>140</v>
      </c>
      <c r="C85" s="249"/>
      <c r="D85" s="250"/>
      <c r="E85" s="27">
        <v>0</v>
      </c>
    </row>
    <row r="86" spans="1:5" ht="15.75" customHeight="1" x14ac:dyDescent="0.25">
      <c r="A86" s="257" t="s">
        <v>113</v>
      </c>
      <c r="B86" s="258"/>
      <c r="C86" s="258"/>
      <c r="D86" s="259"/>
      <c r="E86" s="77">
        <f>SUM(E82:E85)</f>
        <v>895.50358333333338</v>
      </c>
    </row>
    <row r="87" spans="1:5" ht="15.75" customHeight="1" x14ac:dyDescent="0.25">
      <c r="A87" s="260" t="s">
        <v>114</v>
      </c>
      <c r="B87" s="261"/>
      <c r="C87" s="262" t="s">
        <v>28</v>
      </c>
      <c r="D87" s="261"/>
      <c r="E87" s="60">
        <f>SUM(E23+E51+E60+E79+E86)</f>
        <v>5838.3096995052865</v>
      </c>
    </row>
    <row r="88" spans="1:5" ht="27" customHeight="1" x14ac:dyDescent="0.25">
      <c r="A88" s="266" t="s">
        <v>115</v>
      </c>
      <c r="B88" s="266"/>
      <c r="C88" s="266"/>
      <c r="D88" s="266"/>
      <c r="E88" s="79">
        <f>E87</f>
        <v>5838.3096995052865</v>
      </c>
    </row>
    <row r="89" spans="1:5" ht="15.75" customHeight="1" x14ac:dyDescent="0.25">
      <c r="A89" s="263" t="s">
        <v>116</v>
      </c>
      <c r="B89" s="264"/>
      <c r="C89" s="264"/>
      <c r="D89" s="265"/>
      <c r="E89" s="72"/>
    </row>
    <row r="90" spans="1:5" ht="15.75" customHeight="1" x14ac:dyDescent="0.25">
      <c r="A90" s="28">
        <v>6</v>
      </c>
      <c r="B90" s="244" t="s">
        <v>117</v>
      </c>
      <c r="C90" s="237"/>
      <c r="D90" s="243"/>
      <c r="E90" s="29" t="s">
        <v>41</v>
      </c>
    </row>
    <row r="91" spans="1:5" ht="15.75" customHeight="1" x14ac:dyDescent="0.25">
      <c r="A91" s="28" t="s">
        <v>29</v>
      </c>
      <c r="B91" s="37" t="s">
        <v>118</v>
      </c>
      <c r="C91" s="306">
        <v>0.03</v>
      </c>
      <c r="D91" s="243"/>
      <c r="E91" s="27">
        <f>+E88*C91</f>
        <v>175.14929098515859</v>
      </c>
    </row>
    <row r="92" spans="1:5" ht="15.75" customHeight="1" x14ac:dyDescent="0.25">
      <c r="A92" s="28" t="s">
        <v>31</v>
      </c>
      <c r="B92" s="37" t="s">
        <v>119</v>
      </c>
      <c r="C92" s="306">
        <v>6.7900000000000002E-2</v>
      </c>
      <c r="D92" s="243"/>
      <c r="E92" s="27">
        <f>C92*(+E88+E91)</f>
        <v>408.31386545430121</v>
      </c>
    </row>
    <row r="93" spans="1:5" ht="15" customHeight="1" x14ac:dyDescent="0.25">
      <c r="A93" s="307" t="s">
        <v>33</v>
      </c>
      <c r="B93" s="310" t="s">
        <v>120</v>
      </c>
      <c r="C93" s="243"/>
      <c r="D93" s="49">
        <f>1-D101</f>
        <v>0.85749999999999993</v>
      </c>
      <c r="E93" s="27">
        <f>+E88+E91+E92</f>
        <v>6421.772855944746</v>
      </c>
    </row>
    <row r="94" spans="1:5" ht="15.75" customHeight="1" x14ac:dyDescent="0.25">
      <c r="A94" s="308"/>
      <c r="B94" s="50" t="s">
        <v>121</v>
      </c>
      <c r="C94" s="46"/>
      <c r="D94" s="46"/>
      <c r="E94" s="32">
        <f>+E93/D93</f>
        <v>7488.9479369618039</v>
      </c>
    </row>
    <row r="95" spans="1:5" ht="15.75" customHeight="1" x14ac:dyDescent="0.25">
      <c r="A95" s="308"/>
      <c r="B95" s="51" t="s">
        <v>122</v>
      </c>
      <c r="C95" s="52"/>
      <c r="D95" s="53"/>
      <c r="E95" s="27"/>
    </row>
    <row r="96" spans="1:5" ht="15.75" customHeight="1" x14ac:dyDescent="0.25">
      <c r="A96" s="308"/>
      <c r="B96" s="76" t="s">
        <v>144</v>
      </c>
      <c r="C96" s="54"/>
      <c r="D96" s="38">
        <v>1.6500000000000001E-2</v>
      </c>
      <c r="E96" s="27">
        <f>+E94*D96</f>
        <v>123.56764095986976</v>
      </c>
    </row>
    <row r="97" spans="1:5" ht="15.75" customHeight="1" x14ac:dyDescent="0.25">
      <c r="A97" s="308"/>
      <c r="B97" s="76" t="s">
        <v>145</v>
      </c>
      <c r="C97" s="54"/>
      <c r="D97" s="38">
        <v>7.5999999999999998E-2</v>
      </c>
      <c r="E97" s="27">
        <f>+E94*D97</f>
        <v>569.16004320909713</v>
      </c>
    </row>
    <row r="98" spans="1:5" ht="15.75" customHeight="1" x14ac:dyDescent="0.25">
      <c r="A98" s="308"/>
      <c r="B98" s="55" t="s">
        <v>123</v>
      </c>
      <c r="C98" s="56"/>
      <c r="D98" s="39"/>
      <c r="E98" s="27"/>
    </row>
    <row r="99" spans="1:5" ht="15.75" customHeight="1" x14ac:dyDescent="0.25">
      <c r="A99" s="308"/>
      <c r="B99" s="55" t="s">
        <v>124</v>
      </c>
      <c r="C99" s="56"/>
      <c r="D99" s="31"/>
      <c r="E99" s="27"/>
    </row>
    <row r="100" spans="1:5" ht="15.75" customHeight="1" thickBot="1" x14ac:dyDescent="0.3">
      <c r="A100" s="309"/>
      <c r="B100" s="57" t="s">
        <v>125</v>
      </c>
      <c r="C100" s="58"/>
      <c r="D100" s="59">
        <v>0.05</v>
      </c>
      <c r="E100" s="60">
        <f>+E94*D100</f>
        <v>374.44739684809019</v>
      </c>
    </row>
    <row r="101" spans="1:5" ht="15.75" customHeight="1" thickBot="1" x14ac:dyDescent="0.3">
      <c r="A101" s="61"/>
      <c r="B101" s="62" t="s">
        <v>126</v>
      </c>
      <c r="C101" s="62"/>
      <c r="D101" s="63">
        <f t="shared" ref="D101:E101" si="8">SUM(D96:D100)</f>
        <v>0.14250000000000002</v>
      </c>
      <c r="E101" s="64">
        <f t="shared" si="8"/>
        <v>1067.175081017057</v>
      </c>
    </row>
    <row r="102" spans="1:5" ht="15.75" customHeight="1" x14ac:dyDescent="0.25">
      <c r="A102" s="301" t="s">
        <v>127</v>
      </c>
      <c r="B102" s="283"/>
      <c r="C102" s="283"/>
      <c r="D102" s="302"/>
      <c r="E102" s="81">
        <f>+E91+E92+E101</f>
        <v>1650.6382374565169</v>
      </c>
    </row>
    <row r="103" spans="1:5" ht="15.75" customHeight="1" x14ac:dyDescent="0.25">
      <c r="A103" s="303" t="s">
        <v>128</v>
      </c>
      <c r="B103" s="240"/>
      <c r="C103" s="240"/>
      <c r="D103" s="241"/>
      <c r="E103" s="73" t="s">
        <v>41</v>
      </c>
    </row>
    <row r="104" spans="1:5" ht="15.75" customHeight="1" x14ac:dyDescent="0.25">
      <c r="A104" s="28" t="s">
        <v>29</v>
      </c>
      <c r="B104" s="244" t="s">
        <v>129</v>
      </c>
      <c r="C104" s="237"/>
      <c r="D104" s="243"/>
      <c r="E104" s="27">
        <f>+E23</f>
        <v>2350.6800000000003</v>
      </c>
    </row>
    <row r="105" spans="1:5" ht="15.75" customHeight="1" x14ac:dyDescent="0.25">
      <c r="A105" s="28" t="s">
        <v>31</v>
      </c>
      <c r="B105" s="244" t="s">
        <v>130</v>
      </c>
      <c r="C105" s="237"/>
      <c r="D105" s="243"/>
      <c r="E105" s="27">
        <f>E51</f>
        <v>2274.5699546639999</v>
      </c>
    </row>
    <row r="106" spans="1:5" ht="15.75" customHeight="1" x14ac:dyDescent="0.25">
      <c r="A106" s="28" t="s">
        <v>33</v>
      </c>
      <c r="B106" s="244" t="s">
        <v>131</v>
      </c>
      <c r="C106" s="237"/>
      <c r="D106" s="243"/>
      <c r="E106" s="27">
        <f>E60</f>
        <v>168.04197465600001</v>
      </c>
    </row>
    <row r="107" spans="1:5" ht="15.75" customHeight="1" x14ac:dyDescent="0.25">
      <c r="A107" s="28" t="s">
        <v>35</v>
      </c>
      <c r="B107" s="244" t="s">
        <v>132</v>
      </c>
      <c r="C107" s="237"/>
      <c r="D107" s="243"/>
      <c r="E107" s="27">
        <f>E79</f>
        <v>149.51418685195344</v>
      </c>
    </row>
    <row r="108" spans="1:5" ht="15.75" customHeight="1" x14ac:dyDescent="0.25">
      <c r="A108" s="28" t="s">
        <v>53</v>
      </c>
      <c r="B108" s="244" t="s">
        <v>133</v>
      </c>
      <c r="C108" s="237"/>
      <c r="D108" s="243"/>
      <c r="E108" s="27">
        <f>E86</f>
        <v>895.50358333333338</v>
      </c>
    </row>
    <row r="109" spans="1:5" ht="15.75" customHeight="1" x14ac:dyDescent="0.25">
      <c r="A109" s="303" t="s">
        <v>134</v>
      </c>
      <c r="B109" s="304"/>
      <c r="C109" s="304"/>
      <c r="D109" s="305"/>
      <c r="E109" s="82">
        <f>SUM(E104:E108)</f>
        <v>5838.3096995052865</v>
      </c>
    </row>
    <row r="110" spans="1:5" ht="15.75" customHeight="1" x14ac:dyDescent="0.25">
      <c r="A110" s="28" t="s">
        <v>55</v>
      </c>
      <c r="B110" s="300" t="s">
        <v>141</v>
      </c>
      <c r="C110" s="237"/>
      <c r="D110" s="243"/>
      <c r="E110" s="27">
        <f>+E102</f>
        <v>1650.6382374565169</v>
      </c>
    </row>
    <row r="111" spans="1:5" ht="15.75" customHeight="1" thickBot="1" x14ac:dyDescent="0.3">
      <c r="A111" s="254" t="s">
        <v>135</v>
      </c>
      <c r="B111" s="255"/>
      <c r="C111" s="255"/>
      <c r="D111" s="256"/>
      <c r="E111" s="83">
        <f>+E109+E110</f>
        <v>7488.9479369618039</v>
      </c>
    </row>
    <row r="112" spans="1:5" ht="15.75" customHeight="1" thickBot="1" x14ac:dyDescent="0.3">
      <c r="A112" s="65"/>
      <c r="B112" s="66"/>
      <c r="C112" s="66"/>
      <c r="D112" s="66"/>
      <c r="E112" s="67"/>
    </row>
    <row r="113" spans="1:5" ht="15.75" customHeight="1" x14ac:dyDescent="0.25">
      <c r="A113" s="224" t="s">
        <v>344</v>
      </c>
      <c r="B113" s="225"/>
      <c r="C113" s="225"/>
      <c r="D113" s="225"/>
      <c r="E113" s="226"/>
    </row>
    <row r="114" spans="1:5" ht="15.75" customHeight="1" x14ac:dyDescent="0.25">
      <c r="A114" s="227"/>
      <c r="B114" s="228"/>
      <c r="C114" s="228"/>
      <c r="D114" s="228"/>
      <c r="E114" s="229"/>
    </row>
    <row r="115" spans="1:5" ht="15" customHeight="1" x14ac:dyDescent="0.25">
      <c r="A115" s="227"/>
      <c r="B115" s="228"/>
      <c r="C115" s="228"/>
      <c r="D115" s="228"/>
      <c r="E115" s="229"/>
    </row>
    <row r="116" spans="1:5" ht="15" customHeight="1" thickBot="1" x14ac:dyDescent="0.3">
      <c r="A116" s="230"/>
      <c r="B116" s="231"/>
      <c r="C116" s="231"/>
      <c r="D116" s="231"/>
      <c r="E116" s="232"/>
    </row>
  </sheetData>
  <mergeCells count="101">
    <mergeCell ref="C13:E13"/>
    <mergeCell ref="A1:E1"/>
    <mergeCell ref="A2:E2"/>
    <mergeCell ref="C3:E3"/>
    <mergeCell ref="C4:E4"/>
    <mergeCell ref="C5:E5"/>
    <mergeCell ref="C6:E6"/>
    <mergeCell ref="A7:E7"/>
    <mergeCell ref="A8:E8"/>
    <mergeCell ref="A9:E9"/>
    <mergeCell ref="A10:D10"/>
    <mergeCell ref="C11:E11"/>
    <mergeCell ref="A29:E29"/>
    <mergeCell ref="C14:E14"/>
    <mergeCell ref="A15:E15"/>
    <mergeCell ref="B16:D16"/>
    <mergeCell ref="C17:D17"/>
    <mergeCell ref="C20:D20"/>
    <mergeCell ref="C21:D21"/>
    <mergeCell ref="C22:D22"/>
    <mergeCell ref="A23:D23"/>
    <mergeCell ref="A24:E24"/>
    <mergeCell ref="B25:D25"/>
    <mergeCell ref="A28:C28"/>
    <mergeCell ref="B41:C41"/>
    <mergeCell ref="B30:D30"/>
    <mergeCell ref="B31:C31"/>
    <mergeCell ref="B32:C32"/>
    <mergeCell ref="B33:C33"/>
    <mergeCell ref="B34:C34"/>
    <mergeCell ref="B35:C35"/>
    <mergeCell ref="B36:C36"/>
    <mergeCell ref="B37:C37"/>
    <mergeCell ref="B38:C38"/>
    <mergeCell ref="A39:C39"/>
    <mergeCell ref="B40:D40"/>
    <mergeCell ref="B53:D53"/>
    <mergeCell ref="B42:C42"/>
    <mergeCell ref="B43:C43"/>
    <mergeCell ref="B44:C44"/>
    <mergeCell ref="B45:C45"/>
    <mergeCell ref="A46:D46"/>
    <mergeCell ref="A47:E47"/>
    <mergeCell ref="B48:D48"/>
    <mergeCell ref="B49:D49"/>
    <mergeCell ref="B50:D50"/>
    <mergeCell ref="A51:D51"/>
    <mergeCell ref="A52:E52"/>
    <mergeCell ref="B65:C65"/>
    <mergeCell ref="A54:E54"/>
    <mergeCell ref="B55:C55"/>
    <mergeCell ref="B56:C56"/>
    <mergeCell ref="B57:C57"/>
    <mergeCell ref="B58:C58"/>
    <mergeCell ref="B59:C59"/>
    <mergeCell ref="A60:C60"/>
    <mergeCell ref="A61:E61"/>
    <mergeCell ref="A62:E62"/>
    <mergeCell ref="B63:D63"/>
    <mergeCell ref="B64:C64"/>
    <mergeCell ref="B77:C77"/>
    <mergeCell ref="B66:C66"/>
    <mergeCell ref="B67:C67"/>
    <mergeCell ref="B68:C68"/>
    <mergeCell ref="B69:C69"/>
    <mergeCell ref="A70:C70"/>
    <mergeCell ref="A71:D71"/>
    <mergeCell ref="B72:D72"/>
    <mergeCell ref="B73:C73"/>
    <mergeCell ref="A74:C74"/>
    <mergeCell ref="A75:E75"/>
    <mergeCell ref="B76:D76"/>
    <mergeCell ref="A89:D89"/>
    <mergeCell ref="B90:D90"/>
    <mergeCell ref="C91:D91"/>
    <mergeCell ref="C92:D92"/>
    <mergeCell ref="A93:A100"/>
    <mergeCell ref="B93:C93"/>
    <mergeCell ref="A88:D88"/>
    <mergeCell ref="B78:C78"/>
    <mergeCell ref="A79:C79"/>
    <mergeCell ref="A80:D80"/>
    <mergeCell ref="B81:D81"/>
    <mergeCell ref="B82:D82"/>
    <mergeCell ref="B83:D83"/>
    <mergeCell ref="B84:D84"/>
    <mergeCell ref="B85:D85"/>
    <mergeCell ref="A86:D86"/>
    <mergeCell ref="A87:B87"/>
    <mergeCell ref="C87:D87"/>
    <mergeCell ref="A113:E116"/>
    <mergeCell ref="B108:D108"/>
    <mergeCell ref="A109:D109"/>
    <mergeCell ref="B110:D110"/>
    <mergeCell ref="A111:D111"/>
    <mergeCell ref="A102:D102"/>
    <mergeCell ref="A103:D103"/>
    <mergeCell ref="B104:D104"/>
    <mergeCell ref="B105:D105"/>
    <mergeCell ref="B106:D106"/>
    <mergeCell ref="B107:D107"/>
  </mergeCells>
  <hyperlinks>
    <hyperlink ref="B38" r:id="rId1" xr:uid="{A5375825-3430-439E-852F-7CF5CBBBB3B8}"/>
  </hyperlinks>
  <pageMargins left="0.511811024" right="0.511811024" top="0.78740157499999996" bottom="0.78740157499999996" header="0.31496062000000002" footer="0.31496062000000002"/>
  <pageSetup paperSize="9" scale="39" orientation="portrait" r:id="rId2"/>
  <rowBreaks count="1" manualBreakCount="1">
    <brk id="46" max="4" man="1"/>
  </rowBreaks>
  <colBreaks count="1" manualBreakCount="1">
    <brk id="5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L293"/>
  <sheetViews>
    <sheetView showGridLines="0" view="pageBreakPreview" topLeftCell="A259" zoomScale="70" zoomScaleNormal="85" zoomScaleSheetLayoutView="70" workbookViewId="0">
      <selection activeCell="I146" sqref="I146"/>
    </sheetView>
  </sheetViews>
  <sheetFormatPr defaultColWidth="14.42578125" defaultRowHeight="15" customHeight="1" x14ac:dyDescent="0.25"/>
  <cols>
    <col min="1" max="1" width="39.5703125" customWidth="1"/>
    <col min="2" max="2" width="60.85546875" customWidth="1"/>
    <col min="3" max="3" width="19.7109375" customWidth="1"/>
    <col min="4" max="4" width="22.28515625" customWidth="1"/>
    <col min="6" max="6" width="38.5703125" customWidth="1"/>
    <col min="7" max="7" width="40" customWidth="1"/>
    <col min="8" max="8" width="24.5703125" customWidth="1"/>
    <col min="9" max="9" width="28.85546875" customWidth="1"/>
  </cols>
  <sheetData>
    <row r="1" spans="1:8" ht="31.5" customHeight="1" x14ac:dyDescent="0.25">
      <c r="A1" s="357" t="s">
        <v>160</v>
      </c>
      <c r="B1" s="358"/>
      <c r="C1" s="358"/>
      <c r="D1" s="358"/>
      <c r="E1" s="358"/>
    </row>
    <row r="2" spans="1:8" ht="16.5" customHeight="1" x14ac:dyDescent="0.25">
      <c r="A2" s="366" t="s">
        <v>159</v>
      </c>
      <c r="B2" s="366"/>
      <c r="C2" s="366"/>
      <c r="D2" s="366"/>
      <c r="E2" s="366"/>
    </row>
    <row r="3" spans="1:8" ht="15.75" customHeight="1" x14ac:dyDescent="0.25">
      <c r="A3" s="339" t="s">
        <v>150</v>
      </c>
      <c r="B3" s="340"/>
      <c r="C3" s="340"/>
      <c r="D3" s="340"/>
      <c r="E3" s="341"/>
    </row>
    <row r="4" spans="1:8" ht="15.75" customHeight="1" x14ac:dyDescent="0.25">
      <c r="A4" s="90" t="s">
        <v>0</v>
      </c>
      <c r="B4" s="90" t="s">
        <v>1</v>
      </c>
      <c r="C4" s="90" t="s">
        <v>2</v>
      </c>
      <c r="D4" s="90" t="s">
        <v>3</v>
      </c>
      <c r="E4" s="90" t="s">
        <v>152</v>
      </c>
    </row>
    <row r="5" spans="1:8" ht="15.75" customHeight="1" x14ac:dyDescent="0.25">
      <c r="A5" s="91">
        <v>1</v>
      </c>
      <c r="B5" s="336" t="s">
        <v>7</v>
      </c>
      <c r="C5" s="337"/>
      <c r="D5" s="337"/>
      <c r="E5" s="338"/>
    </row>
    <row r="6" spans="1:8" ht="15.75" x14ac:dyDescent="0.25">
      <c r="A6" s="363" t="s">
        <v>189</v>
      </c>
      <c r="B6" s="105" t="s">
        <v>179</v>
      </c>
      <c r="C6" s="92" t="s">
        <v>8</v>
      </c>
      <c r="D6" s="93">
        <v>1386</v>
      </c>
      <c r="E6" s="203">
        <f>VLOOKUP(B6,$A$187:$I$197,9,0)</f>
        <v>1.155</v>
      </c>
    </row>
    <row r="7" spans="1:8" ht="15.75" x14ac:dyDescent="0.25">
      <c r="A7" s="364"/>
      <c r="B7" s="105" t="s">
        <v>180</v>
      </c>
      <c r="C7" s="92" t="s">
        <v>8</v>
      </c>
      <c r="D7" s="93">
        <v>85.17</v>
      </c>
      <c r="E7" s="203">
        <f>VLOOKUP(B7,$A$187:$I$197,9,0)</f>
        <v>7.0974999999999996E-2</v>
      </c>
    </row>
    <row r="8" spans="1:8" ht="15.75" x14ac:dyDescent="0.25">
      <c r="A8" s="364"/>
      <c r="B8" s="105" t="s">
        <v>181</v>
      </c>
      <c r="C8" s="92" t="s">
        <v>8</v>
      </c>
      <c r="D8" s="93">
        <v>65</v>
      </c>
      <c r="E8" s="203">
        <f>I215</f>
        <v>1</v>
      </c>
      <c r="F8" s="356"/>
      <c r="G8" s="331"/>
      <c r="H8" s="331"/>
    </row>
    <row r="9" spans="1:8" ht="15.75" x14ac:dyDescent="0.25">
      <c r="A9" s="364"/>
      <c r="B9" s="105" t="s">
        <v>182</v>
      </c>
      <c r="C9" s="92" t="s">
        <v>8</v>
      </c>
      <c r="D9" s="93">
        <v>2678.01</v>
      </c>
      <c r="E9" s="203">
        <f>VLOOKUP(B9,$A$187:$I$197,9,0)</f>
        <v>1.071204</v>
      </c>
    </row>
    <row r="10" spans="1:8" ht="15.75" customHeight="1" x14ac:dyDescent="0.25">
      <c r="A10" s="364"/>
      <c r="B10" s="336" t="s">
        <v>9</v>
      </c>
      <c r="C10" s="337"/>
      <c r="D10" s="337"/>
      <c r="E10" s="338"/>
    </row>
    <row r="11" spans="1:8" ht="15.75" customHeight="1" x14ac:dyDescent="0.25">
      <c r="A11" s="364"/>
      <c r="B11" s="106" t="s">
        <v>183</v>
      </c>
      <c r="C11" s="92" t="s">
        <v>8</v>
      </c>
      <c r="D11" s="93">
        <v>220</v>
      </c>
      <c r="E11" s="203">
        <f>VLOOKUP(B11,$A$187:$I$197,9,0)</f>
        <v>8.1481481481481488E-2</v>
      </c>
    </row>
    <row r="12" spans="1:8" ht="15.75" customHeight="1" x14ac:dyDescent="0.25">
      <c r="A12" s="364"/>
      <c r="B12" s="106" t="s">
        <v>184</v>
      </c>
      <c r="C12" s="92" t="s">
        <v>8</v>
      </c>
      <c r="D12" s="93">
        <v>800</v>
      </c>
      <c r="E12" s="203">
        <f>VLOOKUP(B12,$A$187:$I$197,9,0)</f>
        <v>8.8888888888888892E-2</v>
      </c>
      <c r="F12" s="356"/>
      <c r="G12" s="331"/>
    </row>
    <row r="13" spans="1:8" ht="15.75" customHeight="1" x14ac:dyDescent="0.25">
      <c r="A13" s="364"/>
      <c r="B13" s="106" t="s">
        <v>185</v>
      </c>
      <c r="C13" s="92" t="s">
        <v>8</v>
      </c>
      <c r="D13" s="93">
        <v>3815</v>
      </c>
      <c r="E13" s="203">
        <f>VLOOKUP(B13,$A$187:$I$197,9,0)</f>
        <v>1.412962962962963</v>
      </c>
    </row>
    <row r="14" spans="1:8" ht="15.75" customHeight="1" x14ac:dyDescent="0.25">
      <c r="A14" s="364"/>
      <c r="B14" s="336" t="s">
        <v>11</v>
      </c>
      <c r="C14" s="337"/>
      <c r="D14" s="337"/>
      <c r="E14" s="338"/>
    </row>
    <row r="15" spans="1:8" ht="15.75" customHeight="1" x14ac:dyDescent="0.25">
      <c r="A15" s="364"/>
      <c r="B15" s="106" t="s">
        <v>186</v>
      </c>
      <c r="C15" s="92" t="s">
        <v>8</v>
      </c>
      <c r="D15" s="104">
        <v>10.44</v>
      </c>
      <c r="E15" s="203">
        <f>VLOOKUP(B15,$A$187:$I$197,9,0)</f>
        <v>6.5250000000000002E-2</v>
      </c>
    </row>
    <row r="16" spans="1:8" ht="15.75" customHeight="1" x14ac:dyDescent="0.25">
      <c r="A16" s="364"/>
      <c r="B16" s="106" t="s">
        <v>187</v>
      </c>
      <c r="C16" s="92" t="s">
        <v>8</v>
      </c>
      <c r="D16" s="93">
        <v>230.22</v>
      </c>
      <c r="E16" s="203">
        <f>VLOOKUP(B16,$A$187:$I$197,9,0)</f>
        <v>0.60584210526315785</v>
      </c>
    </row>
    <row r="17" spans="1:7" ht="15.75" customHeight="1" x14ac:dyDescent="0.25">
      <c r="A17" s="364"/>
      <c r="B17" s="107" t="s">
        <v>196</v>
      </c>
      <c r="C17" s="92"/>
      <c r="D17" s="93">
        <v>0</v>
      </c>
      <c r="E17" s="203">
        <f>VLOOKUP(B17,$A$187:$I$197,9,0)</f>
        <v>0</v>
      </c>
    </row>
    <row r="18" spans="1:7" ht="15.75" customHeight="1" x14ac:dyDescent="0.25">
      <c r="A18" s="365"/>
      <c r="B18" s="106" t="s">
        <v>188</v>
      </c>
      <c r="C18" s="92" t="s">
        <v>8</v>
      </c>
      <c r="D18" s="93">
        <v>215.66</v>
      </c>
      <c r="E18" s="203">
        <f>VLOOKUP(B18,$A$187:$I$197,9,0)</f>
        <v>0.56752631578947366</v>
      </c>
    </row>
    <row r="19" spans="1:7" ht="15.75" customHeight="1" x14ac:dyDescent="0.25">
      <c r="A19" s="361" t="s">
        <v>28</v>
      </c>
      <c r="B19" s="362"/>
      <c r="C19" s="362"/>
      <c r="D19" s="94">
        <f>SUM(D5:D18)</f>
        <v>9505.5</v>
      </c>
      <c r="E19" s="95">
        <f>ROUNDUP(SUM(E5:E18),0)</f>
        <v>7</v>
      </c>
      <c r="F19" s="206"/>
      <c r="G19" s="206"/>
    </row>
    <row r="20" spans="1:7" ht="15.75" customHeight="1" x14ac:dyDescent="0.25">
      <c r="A20" s="4"/>
      <c r="B20" s="5"/>
      <c r="C20" s="3"/>
      <c r="D20" s="3"/>
    </row>
    <row r="21" spans="1:7" ht="15.75" customHeight="1" x14ac:dyDescent="0.25">
      <c r="A21" s="339" t="s">
        <v>151</v>
      </c>
      <c r="B21" s="340"/>
      <c r="C21" s="340"/>
      <c r="D21" s="340"/>
      <c r="E21" s="341"/>
    </row>
    <row r="22" spans="1:7" ht="15.75" customHeight="1" x14ac:dyDescent="0.25">
      <c r="A22" s="90" t="s">
        <v>0</v>
      </c>
      <c r="B22" s="90" t="s">
        <v>1</v>
      </c>
      <c r="C22" s="90" t="s">
        <v>2</v>
      </c>
      <c r="D22" s="90" t="s">
        <v>3</v>
      </c>
      <c r="E22" s="90" t="s">
        <v>152</v>
      </c>
    </row>
    <row r="23" spans="1:7" ht="15.75" customHeight="1" x14ac:dyDescent="0.25">
      <c r="A23" s="91">
        <v>1</v>
      </c>
      <c r="B23" s="336" t="str">
        <f>$B$5</f>
        <v>Áreas Internas</v>
      </c>
      <c r="C23" s="337"/>
      <c r="D23" s="337"/>
      <c r="E23" s="338"/>
    </row>
    <row r="24" spans="1:7" ht="15.75" customHeight="1" x14ac:dyDescent="0.25">
      <c r="A24" s="363" t="s">
        <v>190</v>
      </c>
      <c r="B24" s="105" t="str">
        <f>$B$6</f>
        <v>Interna: pisos frios (m²):</v>
      </c>
      <c r="C24" s="92" t="s">
        <v>8</v>
      </c>
      <c r="D24" s="93">
        <v>53.38</v>
      </c>
      <c r="E24" s="203">
        <f>VLOOKUP(B24,$A$219:$I$229,9,0)</f>
        <v>4.4483333333333333E-2</v>
      </c>
    </row>
    <row r="25" spans="1:7" ht="15.75" customHeight="1" x14ac:dyDescent="0.25">
      <c r="A25" s="364"/>
      <c r="B25" s="105" t="str">
        <f>$B$7</f>
        <v>Interna: piso amadeirado (m²):</v>
      </c>
      <c r="C25" s="92" t="s">
        <v>8</v>
      </c>
      <c r="D25" s="93">
        <v>0</v>
      </c>
      <c r="E25" s="203">
        <f>VLOOKUP(B25,$A$219:$I$229,9,0)</f>
        <v>0</v>
      </c>
    </row>
    <row r="26" spans="1:7" ht="15.75" customHeight="1" x14ac:dyDescent="0.25">
      <c r="A26" s="364"/>
      <c r="B26" s="105" t="str">
        <f>$B$8</f>
        <v>Interna: banheiros (m²):</v>
      </c>
      <c r="C26" s="92" t="s">
        <v>8</v>
      </c>
      <c r="D26" s="93">
        <v>2.25</v>
      </c>
      <c r="E26" s="203">
        <f>VLOOKUP(B26,$A$219:$I$229,9,0)</f>
        <v>7.4999999999999997E-3</v>
      </c>
    </row>
    <row r="27" spans="1:7" ht="15.75" customHeight="1" x14ac:dyDescent="0.25">
      <c r="A27" s="364"/>
      <c r="B27" s="105" t="str">
        <f>$B$9</f>
        <v>Interna: almoxarifados e galpões (m²):</v>
      </c>
      <c r="C27" s="92" t="s">
        <v>8</v>
      </c>
      <c r="D27" s="93">
        <v>0</v>
      </c>
      <c r="E27" s="203">
        <f>VLOOKUP(B27,$A$219:$I$229,9,0)</f>
        <v>0</v>
      </c>
    </row>
    <row r="28" spans="1:7" ht="15.75" customHeight="1" x14ac:dyDescent="0.25">
      <c r="A28" s="364"/>
      <c r="B28" s="336" t="str">
        <f>$B$10</f>
        <v>Área Externa</v>
      </c>
      <c r="C28" s="337"/>
      <c r="D28" s="337"/>
      <c r="E28" s="338"/>
    </row>
    <row r="29" spans="1:7" ht="15.75" customHeight="1" x14ac:dyDescent="0.25">
      <c r="A29" s="364"/>
      <c r="B29" s="106" t="str">
        <f>$B$11</f>
        <v>Externa: pisos pavimentados contíguos às edificações (m²):</v>
      </c>
      <c r="C29" s="92" t="s">
        <v>8</v>
      </c>
      <c r="D29" s="93">
        <v>24</v>
      </c>
      <c r="E29" s="203">
        <f>VLOOKUP(B29,$A$219:$I$229,9,0)</f>
        <v>8.8888888888888889E-3</v>
      </c>
    </row>
    <row r="30" spans="1:7" ht="15.75" customHeight="1" x14ac:dyDescent="0.25">
      <c r="A30" s="364"/>
      <c r="B30" s="106" t="str">
        <f>$B$12</f>
        <v>Externa: Passeios e Arruamentos (m²):</v>
      </c>
      <c r="C30" s="92" t="s">
        <v>8</v>
      </c>
      <c r="D30" s="93">
        <v>0</v>
      </c>
      <c r="E30" s="203">
        <f>VLOOKUP(B30,$A$219:$I$229,9,0)</f>
        <v>0</v>
      </c>
    </row>
    <row r="31" spans="1:7" ht="15.75" customHeight="1" x14ac:dyDescent="0.25">
      <c r="A31" s="364"/>
      <c r="B31" s="106" t="str">
        <f>$B$13</f>
        <v>Externa: pátios e áreas verdes (m²):</v>
      </c>
      <c r="C31" s="92" t="s">
        <v>8</v>
      </c>
      <c r="D31" s="93">
        <v>0</v>
      </c>
      <c r="E31" s="203">
        <f>VLOOKUP(B31,$A$219:$I$229,9,0)</f>
        <v>0</v>
      </c>
    </row>
    <row r="32" spans="1:7" ht="15.75" customHeight="1" x14ac:dyDescent="0.25">
      <c r="A32" s="364"/>
      <c r="B32" s="336" t="str">
        <f>$B$14</f>
        <v>Esquadrias Face Interna e Externa</v>
      </c>
      <c r="C32" s="337"/>
      <c r="D32" s="337"/>
      <c r="E32" s="338"/>
    </row>
    <row r="33" spans="1:5" ht="15.75" customHeight="1" x14ac:dyDescent="0.25">
      <c r="A33" s="364"/>
      <c r="B33" s="106" t="str">
        <f>$B$15</f>
        <v>Esquadrias: face externa com exposição à situação de risco (m²):</v>
      </c>
      <c r="C33" s="92" t="s">
        <v>8</v>
      </c>
      <c r="D33" s="104">
        <v>0</v>
      </c>
      <c r="E33" s="203">
        <f>VLOOKUP(B33,$A$219:$I$229,9,0)</f>
        <v>0</v>
      </c>
    </row>
    <row r="34" spans="1:5" ht="15.75" customHeight="1" x14ac:dyDescent="0.25">
      <c r="A34" s="364"/>
      <c r="B34" s="106" t="str">
        <f>$B$16</f>
        <v xml:space="preserve">Esquadrias: face externa sem exposição à situação de risco (m²):                                </v>
      </c>
      <c r="C34" s="92" t="s">
        <v>8</v>
      </c>
      <c r="D34" s="93">
        <v>7.5</v>
      </c>
      <c r="E34" s="203">
        <f>VLOOKUP(B34,$A$219:$I$229,9,0)</f>
        <v>1.9736842105263157E-2</v>
      </c>
    </row>
    <row r="35" spans="1:5" ht="15.75" customHeight="1" x14ac:dyDescent="0.25">
      <c r="A35" s="364"/>
      <c r="B35" s="107" t="str">
        <f>$B$17</f>
        <v>Esquadrias: face interna sem exposição a situação de risco (m²):</v>
      </c>
      <c r="C35" s="92" t="s">
        <v>8</v>
      </c>
      <c r="D35" s="93">
        <v>0</v>
      </c>
      <c r="E35" s="203">
        <f>VLOOKUP(B35,$A$219:$I$229,9,0)</f>
        <v>0</v>
      </c>
    </row>
    <row r="36" spans="1:5" ht="15.75" customHeight="1" x14ac:dyDescent="0.25">
      <c r="A36" s="365"/>
      <c r="B36" s="106" t="str">
        <f>$B$18</f>
        <v>Esquadrias: face interna (m²):</v>
      </c>
      <c r="C36" s="92" t="s">
        <v>8</v>
      </c>
      <c r="D36" s="93">
        <v>8</v>
      </c>
      <c r="E36" s="203">
        <f>VLOOKUP(B36,$A$219:$I$229,9,0)</f>
        <v>2.1052631578947368E-2</v>
      </c>
    </row>
    <row r="37" spans="1:5" ht="15.75" customHeight="1" x14ac:dyDescent="0.25">
      <c r="A37" s="361" t="s">
        <v>28</v>
      </c>
      <c r="B37" s="362"/>
      <c r="C37" s="362"/>
      <c r="D37" s="94">
        <f>SUM(D23:D36)</f>
        <v>95.13</v>
      </c>
      <c r="E37" s="209">
        <f>SUM(E23:E36)</f>
        <v>0.10166169590643274</v>
      </c>
    </row>
    <row r="38" spans="1:5" ht="15.75" customHeight="1" x14ac:dyDescent="0.25"/>
    <row r="39" spans="1:5" ht="15.75" customHeight="1" x14ac:dyDescent="0.25">
      <c r="A39" s="339" t="s">
        <v>153</v>
      </c>
      <c r="B39" s="340"/>
      <c r="C39" s="340"/>
      <c r="D39" s="340"/>
      <c r="E39" s="341"/>
    </row>
    <row r="40" spans="1:5" ht="15.75" customHeight="1" x14ac:dyDescent="0.25">
      <c r="A40" s="90" t="s">
        <v>0</v>
      </c>
      <c r="B40" s="90" t="s">
        <v>1</v>
      </c>
      <c r="C40" s="90" t="s">
        <v>2</v>
      </c>
      <c r="D40" s="90" t="s">
        <v>3</v>
      </c>
      <c r="E40" s="90" t="s">
        <v>152</v>
      </c>
    </row>
    <row r="41" spans="1:5" ht="15.75" customHeight="1" x14ac:dyDescent="0.25">
      <c r="A41" s="91">
        <v>1</v>
      </c>
      <c r="B41" s="336" t="s">
        <v>7</v>
      </c>
      <c r="C41" s="337"/>
      <c r="D41" s="337"/>
      <c r="E41" s="338"/>
    </row>
    <row r="42" spans="1:5" ht="15.75" customHeight="1" x14ac:dyDescent="0.25">
      <c r="A42" s="363" t="s">
        <v>191</v>
      </c>
      <c r="B42" s="105" t="str">
        <f>$B$6</f>
        <v>Interna: pisos frios (m²):</v>
      </c>
      <c r="C42" s="92" t="s">
        <v>8</v>
      </c>
      <c r="D42" s="93">
        <v>37</v>
      </c>
      <c r="E42" s="203">
        <f>VLOOKUP(B42,$A$235:$I$245,9,0)</f>
        <v>3.0833333333333334E-2</v>
      </c>
    </row>
    <row r="43" spans="1:5" ht="15.75" customHeight="1" x14ac:dyDescent="0.25">
      <c r="A43" s="364"/>
      <c r="B43" s="105" t="str">
        <f>$B$7</f>
        <v>Interna: piso amadeirado (m²):</v>
      </c>
      <c r="C43" s="92" t="s">
        <v>8</v>
      </c>
      <c r="D43" s="93">
        <v>0</v>
      </c>
      <c r="E43" s="203">
        <f>VLOOKUP(B43,$A$235:$I$245,9,0)</f>
        <v>0</v>
      </c>
    </row>
    <row r="44" spans="1:5" ht="15.75" customHeight="1" x14ac:dyDescent="0.25">
      <c r="A44" s="364"/>
      <c r="B44" s="105" t="str">
        <f>$B$8</f>
        <v>Interna: banheiros (m²):</v>
      </c>
      <c r="C44" s="92" t="s">
        <v>8</v>
      </c>
      <c r="D44" s="93">
        <v>12.46</v>
      </c>
      <c r="E44" s="203">
        <f>VLOOKUP(B44,$A$235:$I$245,9,0)</f>
        <v>4.1533333333333339E-2</v>
      </c>
    </row>
    <row r="45" spans="1:5" ht="15.75" customHeight="1" x14ac:dyDescent="0.25">
      <c r="A45" s="364"/>
      <c r="B45" s="105" t="str">
        <f>$B$9</f>
        <v>Interna: almoxarifados e galpões (m²):</v>
      </c>
      <c r="C45" s="92" t="s">
        <v>8</v>
      </c>
      <c r="D45" s="93">
        <v>68</v>
      </c>
      <c r="E45" s="203">
        <f>VLOOKUP(B45,$A$235:$I$245,9,0)</f>
        <v>2.7199999999999998E-2</v>
      </c>
    </row>
    <row r="46" spans="1:5" ht="15.75" customHeight="1" x14ac:dyDescent="0.25">
      <c r="A46" s="364"/>
      <c r="B46" s="336" t="s">
        <v>9</v>
      </c>
      <c r="C46" s="337"/>
      <c r="D46" s="337"/>
      <c r="E46" s="338"/>
    </row>
    <row r="47" spans="1:5" ht="15.75" customHeight="1" x14ac:dyDescent="0.25">
      <c r="A47" s="364"/>
      <c r="B47" s="106" t="str">
        <f>$B$11</f>
        <v>Externa: pisos pavimentados contíguos às edificações (m²):</v>
      </c>
      <c r="C47" s="92" t="s">
        <v>8</v>
      </c>
      <c r="D47" s="93">
        <v>6</v>
      </c>
      <c r="E47" s="203">
        <f>VLOOKUP(B47,$A$235:$I$245,9,0)</f>
        <v>2.2222222222222222E-3</v>
      </c>
    </row>
    <row r="48" spans="1:5" ht="15.75" customHeight="1" x14ac:dyDescent="0.25">
      <c r="A48" s="364"/>
      <c r="B48" s="106" t="str">
        <f>$B$12</f>
        <v>Externa: Passeios e Arruamentos (m²):</v>
      </c>
      <c r="C48" s="92" t="s">
        <v>8</v>
      </c>
      <c r="D48" s="93">
        <v>2</v>
      </c>
      <c r="E48" s="203">
        <f>VLOOKUP(B48,$A$235:$I$245,9,0)</f>
        <v>2.2222222222222223E-4</v>
      </c>
    </row>
    <row r="49" spans="1:5" ht="15.75" customHeight="1" x14ac:dyDescent="0.25">
      <c r="A49" s="364"/>
      <c r="B49" s="106" t="str">
        <f>$B$13</f>
        <v>Externa: pátios e áreas verdes (m²):</v>
      </c>
      <c r="C49" s="92" t="s">
        <v>8</v>
      </c>
      <c r="D49" s="93">
        <v>0</v>
      </c>
      <c r="E49" s="203">
        <f>VLOOKUP(B49,$A$235:$I$245,9,0)</f>
        <v>0</v>
      </c>
    </row>
    <row r="50" spans="1:5" ht="15.75" customHeight="1" x14ac:dyDescent="0.25">
      <c r="A50" s="364"/>
      <c r="B50" s="336" t="s">
        <v>11</v>
      </c>
      <c r="C50" s="337"/>
      <c r="D50" s="337"/>
      <c r="E50" s="338"/>
    </row>
    <row r="51" spans="1:5" ht="15.75" customHeight="1" x14ac:dyDescent="0.25">
      <c r="A51" s="364"/>
      <c r="B51" s="106" t="str">
        <f>$B$15</f>
        <v>Esquadrias: face externa com exposição à situação de risco (m²):</v>
      </c>
      <c r="C51" s="92" t="s">
        <v>8</v>
      </c>
      <c r="D51" s="104">
        <v>0</v>
      </c>
      <c r="E51" s="204" t="s">
        <v>21</v>
      </c>
    </row>
    <row r="52" spans="1:5" ht="15.75" customHeight="1" x14ac:dyDescent="0.25">
      <c r="A52" s="364"/>
      <c r="B52" s="106" t="str">
        <f>$B$16</f>
        <v xml:space="preserve">Esquadrias: face externa sem exposição à situação de risco (m²):                                </v>
      </c>
      <c r="C52" s="92" t="s">
        <v>8</v>
      </c>
      <c r="D52" s="93">
        <v>3.2</v>
      </c>
      <c r="E52" s="203">
        <f>VLOOKUP(B52,$A$235:$I$245,9,0)</f>
        <v>8.4210526315789472E-3</v>
      </c>
    </row>
    <row r="53" spans="1:5" ht="15.75" customHeight="1" x14ac:dyDescent="0.25">
      <c r="A53" s="364"/>
      <c r="B53" s="107" t="str">
        <f>$B$17</f>
        <v>Esquadrias: face interna sem exposição a situação de risco (m²):</v>
      </c>
      <c r="C53" s="92" t="s">
        <v>8</v>
      </c>
      <c r="D53" s="93">
        <v>0</v>
      </c>
      <c r="E53" s="203">
        <f>VLOOKUP(B53,$A$235:$I$245,9,0)</f>
        <v>0</v>
      </c>
    </row>
    <row r="54" spans="1:5" ht="15.75" customHeight="1" x14ac:dyDescent="0.25">
      <c r="A54" s="365"/>
      <c r="B54" s="106" t="str">
        <f>$B$18</f>
        <v>Esquadrias: face interna (m²):</v>
      </c>
      <c r="C54" s="92" t="s">
        <v>8</v>
      </c>
      <c r="D54" s="93">
        <v>3.2</v>
      </c>
      <c r="E54" s="203">
        <f>VLOOKUP(B54,$A$235:$I$245,9,0)</f>
        <v>8.4210526315789472E-3</v>
      </c>
    </row>
    <row r="55" spans="1:5" ht="15.75" customHeight="1" x14ac:dyDescent="0.25">
      <c r="A55" s="361" t="s">
        <v>28</v>
      </c>
      <c r="B55" s="362"/>
      <c r="C55" s="362"/>
      <c r="D55" s="94">
        <f>SUM(D41:D54)</f>
        <v>131.85999999999999</v>
      </c>
      <c r="E55" s="209">
        <f>SUM(E41:E54)</f>
        <v>0.11885321637426902</v>
      </c>
    </row>
    <row r="56" spans="1:5" ht="15.75" customHeight="1" x14ac:dyDescent="0.25"/>
    <row r="57" spans="1:5" ht="15.75" customHeight="1" x14ac:dyDescent="0.25">
      <c r="A57" s="339" t="s">
        <v>154</v>
      </c>
      <c r="B57" s="340"/>
      <c r="C57" s="340"/>
      <c r="D57" s="340"/>
      <c r="E57" s="341"/>
    </row>
    <row r="58" spans="1:5" ht="15.75" customHeight="1" x14ac:dyDescent="0.25">
      <c r="A58" s="90" t="s">
        <v>0</v>
      </c>
      <c r="B58" s="90" t="s">
        <v>1</v>
      </c>
      <c r="C58" s="90" t="s">
        <v>2</v>
      </c>
      <c r="D58" s="90" t="s">
        <v>3</v>
      </c>
      <c r="E58" s="90" t="s">
        <v>152</v>
      </c>
    </row>
    <row r="59" spans="1:5" ht="15.75" customHeight="1" x14ac:dyDescent="0.25">
      <c r="A59" s="91">
        <v>1</v>
      </c>
      <c r="B59" s="336" t="s">
        <v>7</v>
      </c>
      <c r="C59" s="337"/>
      <c r="D59" s="337"/>
      <c r="E59" s="338"/>
    </row>
    <row r="60" spans="1:5" ht="15.75" customHeight="1" x14ac:dyDescent="0.25">
      <c r="A60" s="363" t="s">
        <v>194</v>
      </c>
      <c r="B60" s="105" t="str">
        <f>$B$6</f>
        <v>Interna: pisos frios (m²):</v>
      </c>
      <c r="C60" s="92" t="s">
        <v>8</v>
      </c>
      <c r="D60" s="93">
        <v>135</v>
      </c>
      <c r="E60" s="203">
        <f>VLOOKUP(B60,$A$251:$I$261,9,0)</f>
        <v>0.1125</v>
      </c>
    </row>
    <row r="61" spans="1:5" ht="15.75" customHeight="1" x14ac:dyDescent="0.25">
      <c r="A61" s="364"/>
      <c r="B61" s="105" t="str">
        <f>$B$7</f>
        <v>Interna: piso amadeirado (m²):</v>
      </c>
      <c r="C61" s="92" t="s">
        <v>8</v>
      </c>
      <c r="D61" s="93">
        <v>0</v>
      </c>
      <c r="E61" s="203">
        <f>VLOOKUP(B61,$A$251:$I$261,9,0)</f>
        <v>0</v>
      </c>
    </row>
    <row r="62" spans="1:5" ht="15.75" customHeight="1" x14ac:dyDescent="0.25">
      <c r="A62" s="364"/>
      <c r="B62" s="105" t="str">
        <f>$B$8</f>
        <v>Interna: banheiros (m²):</v>
      </c>
      <c r="C62" s="92" t="s">
        <v>8</v>
      </c>
      <c r="D62" s="93">
        <v>24.71</v>
      </c>
      <c r="E62" s="203">
        <f>VLOOKUP(B62,$A$251:$I$261,9,0)</f>
        <v>8.2366666666666671E-2</v>
      </c>
    </row>
    <row r="63" spans="1:5" ht="15.75" customHeight="1" x14ac:dyDescent="0.25">
      <c r="A63" s="364"/>
      <c r="B63" s="105" t="str">
        <f>$B$9</f>
        <v>Interna: almoxarifados e galpões (m²):</v>
      </c>
      <c r="C63" s="92" t="s">
        <v>8</v>
      </c>
      <c r="D63" s="93">
        <v>10.050000000000001</v>
      </c>
      <c r="E63" s="203">
        <f>VLOOKUP(B63,$A$251:$I$261,9,0)</f>
        <v>4.0200000000000001E-3</v>
      </c>
    </row>
    <row r="64" spans="1:5" ht="15.75" customHeight="1" x14ac:dyDescent="0.25">
      <c r="A64" s="364"/>
      <c r="B64" s="336" t="s">
        <v>9</v>
      </c>
      <c r="C64" s="337"/>
      <c r="D64" s="337"/>
      <c r="E64" s="338"/>
    </row>
    <row r="65" spans="1:5" ht="15.75" customHeight="1" x14ac:dyDescent="0.25">
      <c r="A65" s="364"/>
      <c r="B65" s="106" t="str">
        <f>$B$11</f>
        <v>Externa: pisos pavimentados contíguos às edificações (m²):</v>
      </c>
      <c r="C65" s="92" t="s">
        <v>8</v>
      </c>
      <c r="D65" s="93">
        <v>132</v>
      </c>
      <c r="E65" s="203">
        <f>VLOOKUP(B65,$A$251:$I$261,9,0)</f>
        <v>4.8888888888888891E-2</v>
      </c>
    </row>
    <row r="66" spans="1:5" ht="15.75" customHeight="1" x14ac:dyDescent="0.25">
      <c r="A66" s="364"/>
      <c r="B66" s="106" t="str">
        <f>$B$12</f>
        <v>Externa: Passeios e Arruamentos (m²):</v>
      </c>
      <c r="C66" s="92" t="s">
        <v>8</v>
      </c>
      <c r="D66" s="93">
        <v>206</v>
      </c>
      <c r="E66" s="203">
        <f>VLOOKUP(B66,$A$251:$I$261,9,0)</f>
        <v>2.2888888888888889E-2</v>
      </c>
    </row>
    <row r="67" spans="1:5" ht="15.75" customHeight="1" x14ac:dyDescent="0.25">
      <c r="A67" s="364"/>
      <c r="B67" s="106" t="str">
        <f>$B$13</f>
        <v>Externa: pátios e áreas verdes (m²):</v>
      </c>
      <c r="C67" s="92" t="s">
        <v>8</v>
      </c>
      <c r="D67" s="93">
        <v>25</v>
      </c>
      <c r="E67" s="203">
        <f>VLOOKUP(B67,$A$251:$I$261,9,0)</f>
        <v>9.2592592592592587E-3</v>
      </c>
    </row>
    <row r="68" spans="1:5" ht="15.75" customHeight="1" x14ac:dyDescent="0.25">
      <c r="A68" s="364"/>
      <c r="B68" s="336" t="s">
        <v>11</v>
      </c>
      <c r="C68" s="337"/>
      <c r="D68" s="337"/>
      <c r="E68" s="338"/>
    </row>
    <row r="69" spans="1:5" ht="15.75" customHeight="1" x14ac:dyDescent="0.25">
      <c r="A69" s="364"/>
      <c r="B69" s="106" t="str">
        <f>$B$15</f>
        <v>Esquadrias: face externa com exposição à situação de risco (m²):</v>
      </c>
      <c r="C69" s="92" t="s">
        <v>8</v>
      </c>
      <c r="D69" s="104">
        <v>0</v>
      </c>
      <c r="E69" s="203">
        <f>VLOOKUP(B69,$A$251:$I$261,9,0)</f>
        <v>0</v>
      </c>
    </row>
    <row r="70" spans="1:5" ht="15.75" customHeight="1" x14ac:dyDescent="0.25">
      <c r="A70" s="364"/>
      <c r="B70" s="106" t="str">
        <f>$B$16</f>
        <v xml:space="preserve">Esquadrias: face externa sem exposição à situação de risco (m²):                                </v>
      </c>
      <c r="C70" s="92" t="s">
        <v>8</v>
      </c>
      <c r="D70" s="93">
        <v>0</v>
      </c>
      <c r="E70" s="203">
        <f>VLOOKUP(B70,$A$251:$I$261,9,0)</f>
        <v>0</v>
      </c>
    </row>
    <row r="71" spans="1:5" ht="15.75" customHeight="1" x14ac:dyDescent="0.25">
      <c r="A71" s="364"/>
      <c r="B71" s="107" t="str">
        <f>$B$17</f>
        <v>Esquadrias: face interna sem exposição a situação de risco (m²):</v>
      </c>
      <c r="C71" s="92" t="s">
        <v>8</v>
      </c>
      <c r="D71" s="93">
        <v>0</v>
      </c>
      <c r="E71" s="203">
        <f>VLOOKUP(B71,$A$251:$I$261,9,0)</f>
        <v>0</v>
      </c>
    </row>
    <row r="72" spans="1:5" ht="15.75" customHeight="1" x14ac:dyDescent="0.25">
      <c r="A72" s="365"/>
      <c r="B72" s="106" t="str">
        <f>$B$18</f>
        <v>Esquadrias: face interna (m²):</v>
      </c>
      <c r="C72" s="92" t="s">
        <v>8</v>
      </c>
      <c r="D72" s="93">
        <v>24.28</v>
      </c>
      <c r="E72" s="203">
        <f>VLOOKUP(B72,$A$251:$I$261,9,0)</f>
        <v>6.3894736842105268E-2</v>
      </c>
    </row>
    <row r="73" spans="1:5" ht="15.75" customHeight="1" x14ac:dyDescent="0.25">
      <c r="A73" s="361" t="s">
        <v>28</v>
      </c>
      <c r="B73" s="362"/>
      <c r="C73" s="362"/>
      <c r="D73" s="94">
        <f>SUM(D59:D72)</f>
        <v>557.04</v>
      </c>
      <c r="E73" s="95">
        <f>ROUNDUP(SUM(E59:E72),0)</f>
        <v>1</v>
      </c>
    </row>
    <row r="74" spans="1:5" ht="15.75" customHeight="1" x14ac:dyDescent="0.25">
      <c r="A74" s="4"/>
      <c r="B74" s="5"/>
      <c r="C74" s="3"/>
      <c r="D74" s="3"/>
    </row>
    <row r="75" spans="1:5" ht="15.75" customHeight="1" x14ac:dyDescent="0.25">
      <c r="A75" s="339" t="s">
        <v>195</v>
      </c>
      <c r="B75" s="340"/>
      <c r="C75" s="340"/>
      <c r="D75" s="340"/>
      <c r="E75" s="341"/>
    </row>
    <row r="76" spans="1:5" ht="15.75" customHeight="1" x14ac:dyDescent="0.25">
      <c r="A76" s="90" t="s">
        <v>0</v>
      </c>
      <c r="B76" s="90" t="s">
        <v>1</v>
      </c>
      <c r="C76" s="90" t="s">
        <v>2</v>
      </c>
      <c r="D76" s="90" t="s">
        <v>3</v>
      </c>
      <c r="E76" s="90" t="s">
        <v>152</v>
      </c>
    </row>
    <row r="77" spans="1:5" ht="15.75" customHeight="1" x14ac:dyDescent="0.25">
      <c r="A77" s="91">
        <v>1</v>
      </c>
      <c r="B77" s="336" t="s">
        <v>7</v>
      </c>
      <c r="C77" s="337"/>
      <c r="D77" s="337"/>
      <c r="E77" s="338"/>
    </row>
    <row r="78" spans="1:5" ht="15" customHeight="1" x14ac:dyDescent="0.25">
      <c r="A78" s="367" t="s">
        <v>219</v>
      </c>
      <c r="B78" s="105" t="str">
        <f>$B$6</f>
        <v>Interna: pisos frios (m²):</v>
      </c>
      <c r="C78" s="92" t="s">
        <v>8</v>
      </c>
      <c r="D78" s="93">
        <v>102.72</v>
      </c>
      <c r="E78" s="203">
        <f>VLOOKUP(B78,$A$267:$I$277,9,0)</f>
        <v>8.5599999999999996E-2</v>
      </c>
    </row>
    <row r="79" spans="1:5" ht="15.75" customHeight="1" x14ac:dyDescent="0.25">
      <c r="A79" s="364"/>
      <c r="B79" s="105" t="str">
        <f>$B$7</f>
        <v>Interna: piso amadeirado (m²):</v>
      </c>
      <c r="C79" s="92" t="s">
        <v>8</v>
      </c>
      <c r="D79" s="93">
        <v>0</v>
      </c>
      <c r="E79" s="203">
        <f>VLOOKUP(B79,$A$267:$I$277,9,0)</f>
        <v>0</v>
      </c>
    </row>
    <row r="80" spans="1:5" ht="15.75" customHeight="1" x14ac:dyDescent="0.25">
      <c r="A80" s="364"/>
      <c r="B80" s="105" t="str">
        <f>$B$8</f>
        <v>Interna: banheiros (m²):</v>
      </c>
      <c r="C80" s="92" t="s">
        <v>8</v>
      </c>
      <c r="D80" s="93">
        <v>5.12</v>
      </c>
      <c r="E80" s="203">
        <f>VLOOKUP(B80,$A$267:$I$277,9,0)</f>
        <v>1.7066666666666667E-2</v>
      </c>
    </row>
    <row r="81" spans="1:7" ht="15.75" customHeight="1" x14ac:dyDescent="0.25">
      <c r="A81" s="364"/>
      <c r="B81" s="105" t="str">
        <f>$B$9</f>
        <v>Interna: almoxarifados e galpões (m²):</v>
      </c>
      <c r="C81" s="92" t="s">
        <v>8</v>
      </c>
      <c r="D81" s="93">
        <v>26.06</v>
      </c>
      <c r="E81" s="203">
        <f>VLOOKUP(B81,$A$267:$I$277,9,0)</f>
        <v>1.0423999999999999E-2</v>
      </c>
    </row>
    <row r="82" spans="1:7" ht="15.75" customHeight="1" x14ac:dyDescent="0.25">
      <c r="A82" s="364"/>
      <c r="B82" s="336" t="s">
        <v>9</v>
      </c>
      <c r="C82" s="337"/>
      <c r="D82" s="337"/>
      <c r="E82" s="338"/>
    </row>
    <row r="83" spans="1:7" ht="15.75" customHeight="1" x14ac:dyDescent="0.25">
      <c r="A83" s="364"/>
      <c r="B83" s="106" t="str">
        <f>$B$11</f>
        <v>Externa: pisos pavimentados contíguos às edificações (m²):</v>
      </c>
      <c r="C83" s="92" t="s">
        <v>8</v>
      </c>
      <c r="D83" s="93">
        <v>22.64</v>
      </c>
      <c r="E83" s="203">
        <f>VLOOKUP(B83,$A$267:$I$277,9,0)</f>
        <v>8.3851851851851848E-3</v>
      </c>
    </row>
    <row r="84" spans="1:7" ht="15.75" customHeight="1" x14ac:dyDescent="0.25">
      <c r="A84" s="364"/>
      <c r="B84" s="106" t="str">
        <f>$B$12</f>
        <v>Externa: Passeios e Arruamentos (m²):</v>
      </c>
      <c r="C84" s="92" t="s">
        <v>8</v>
      </c>
      <c r="D84" s="93">
        <v>26.36</v>
      </c>
      <c r="E84" s="203">
        <f>VLOOKUP(B84,$A$267:$I$277,9,0)</f>
        <v>2.9288888888888889E-3</v>
      </c>
    </row>
    <row r="85" spans="1:7" ht="15.75" customHeight="1" x14ac:dyDescent="0.25">
      <c r="A85" s="364"/>
      <c r="B85" s="106" t="str">
        <f>$B$13</f>
        <v>Externa: pátios e áreas verdes (m²):</v>
      </c>
      <c r="C85" s="92" t="s">
        <v>8</v>
      </c>
      <c r="D85" s="93">
        <v>808.27</v>
      </c>
      <c r="E85" s="203">
        <f>VLOOKUP(B85,$A$267:$I$277,9,0)</f>
        <v>0.29935925925925927</v>
      </c>
    </row>
    <row r="86" spans="1:7" ht="15.75" customHeight="1" x14ac:dyDescent="0.25">
      <c r="A86" s="364"/>
      <c r="B86" s="336" t="s">
        <v>11</v>
      </c>
      <c r="C86" s="337"/>
      <c r="D86" s="337"/>
      <c r="E86" s="338"/>
    </row>
    <row r="87" spans="1:7" ht="15.75" customHeight="1" x14ac:dyDescent="0.25">
      <c r="A87" s="364"/>
      <c r="B87" s="106" t="str">
        <f>$B$15</f>
        <v>Esquadrias: face externa com exposição à situação de risco (m²):</v>
      </c>
      <c r="C87" s="92" t="s">
        <v>8</v>
      </c>
      <c r="D87" s="104">
        <v>0</v>
      </c>
      <c r="E87" s="203">
        <f>VLOOKUP(B87,$A$267:$I$277,9,0)</f>
        <v>0</v>
      </c>
    </row>
    <row r="88" spans="1:7" ht="15.75" customHeight="1" x14ac:dyDescent="0.25">
      <c r="A88" s="364"/>
      <c r="B88" s="106" t="str">
        <f>$B$16</f>
        <v xml:space="preserve">Esquadrias: face externa sem exposição à situação de risco (m²):                                </v>
      </c>
      <c r="C88" s="92" t="s">
        <v>8</v>
      </c>
      <c r="D88" s="93">
        <v>6.2</v>
      </c>
      <c r="E88" s="203">
        <f>VLOOKUP(B88,$A$267:$I$277,9,0)</f>
        <v>1.6315789473684211E-2</v>
      </c>
    </row>
    <row r="89" spans="1:7" ht="15.75" customHeight="1" x14ac:dyDescent="0.25">
      <c r="A89" s="364"/>
      <c r="B89" s="107" t="str">
        <f>$B$17</f>
        <v>Esquadrias: face interna sem exposição a situação de risco (m²):</v>
      </c>
      <c r="C89" s="92" t="s">
        <v>8</v>
      </c>
      <c r="D89" s="93">
        <v>6.2</v>
      </c>
      <c r="E89" s="203">
        <f>VLOOKUP(B89,$A$267:$I$277,9,0)</f>
        <v>1.6315789473684211E-2</v>
      </c>
    </row>
    <row r="90" spans="1:7" ht="15.75" customHeight="1" x14ac:dyDescent="0.25">
      <c r="A90" s="365"/>
      <c r="B90" s="106" t="str">
        <f>$B$18</f>
        <v>Esquadrias: face interna (m²):</v>
      </c>
      <c r="C90" s="92" t="s">
        <v>8</v>
      </c>
      <c r="D90" s="93">
        <v>0</v>
      </c>
      <c r="E90" s="203">
        <f>VLOOKUP(B90,$A$267:$I$277,9,0)</f>
        <v>0</v>
      </c>
    </row>
    <row r="91" spans="1:7" ht="15.75" customHeight="1" x14ac:dyDescent="0.25">
      <c r="A91" s="361" t="s">
        <v>28</v>
      </c>
      <c r="B91" s="362"/>
      <c r="C91" s="362"/>
      <c r="D91" s="94">
        <f>SUM(D77:D90)</f>
        <v>1003.5700000000002</v>
      </c>
      <c r="E91" s="95">
        <f>ROUNDUP(SUM(E77:E90),0)</f>
        <v>1</v>
      </c>
    </row>
    <row r="93" spans="1:7" ht="20.25" customHeight="1" x14ac:dyDescent="0.35">
      <c r="A93" s="359" t="s">
        <v>15</v>
      </c>
      <c r="B93" s="360"/>
      <c r="C93" s="360"/>
      <c r="D93" s="360"/>
      <c r="E93" s="360"/>
      <c r="F93" s="360"/>
      <c r="G93" s="360"/>
    </row>
    <row r="94" spans="1:7" ht="16.5" customHeight="1" x14ac:dyDescent="0.25">
      <c r="A94" s="355" t="s">
        <v>348</v>
      </c>
      <c r="B94" s="348"/>
      <c r="C94" s="348"/>
      <c r="D94" s="348"/>
      <c r="E94" s="348"/>
      <c r="F94" s="348"/>
      <c r="G94" s="348"/>
    </row>
    <row r="95" spans="1:7" ht="15.75" customHeight="1" x14ac:dyDescent="0.25">
      <c r="A95" s="109" t="s">
        <v>198</v>
      </c>
      <c r="B95" s="342" t="s">
        <v>199</v>
      </c>
      <c r="C95" s="343"/>
      <c r="D95" s="343"/>
      <c r="E95" s="343"/>
      <c r="F95" s="110" t="s">
        <v>200</v>
      </c>
      <c r="G95" s="110" t="s">
        <v>197</v>
      </c>
    </row>
    <row r="96" spans="1:7" ht="15.75" customHeight="1" x14ac:dyDescent="0.25">
      <c r="A96" s="109" t="s">
        <v>372</v>
      </c>
      <c r="B96" s="112">
        <v>1</v>
      </c>
      <c r="C96" s="108">
        <v>0</v>
      </c>
      <c r="D96" s="113">
        <v>1200</v>
      </c>
      <c r="E96" s="114">
        <f>B96/D96</f>
        <v>8.3333333333333339E-4</v>
      </c>
      <c r="F96" s="115">
        <f>'CIAC - COM INSALUBRIDADE'!$E$111</f>
        <v>7340.4621466871267</v>
      </c>
      <c r="G96" s="115">
        <f t="shared" ref="G96:G99" si="0">ROUND(E96*F96,2)</f>
        <v>6.12</v>
      </c>
    </row>
    <row r="97" spans="1:7" ht="15.75" customHeight="1" x14ac:dyDescent="0.25">
      <c r="A97" s="109" t="s">
        <v>343</v>
      </c>
      <c r="B97" s="112">
        <v>1</v>
      </c>
      <c r="C97" s="108">
        <v>0</v>
      </c>
      <c r="D97" s="113">
        <f>$D$96</f>
        <v>1200</v>
      </c>
      <c r="E97" s="114">
        <f>B97/D97</f>
        <v>8.3333333333333339E-4</v>
      </c>
      <c r="F97" s="115">
        <f>'GUAJARA - COM INSALUBRIDADE'!$E$111</f>
        <v>7488.9479369618039</v>
      </c>
      <c r="G97" s="115">
        <f t="shared" si="0"/>
        <v>6.24</v>
      </c>
    </row>
    <row r="98" spans="1:7" ht="15" customHeight="1" x14ac:dyDescent="0.25">
      <c r="A98" s="111" t="s">
        <v>342</v>
      </c>
      <c r="B98" s="112">
        <v>1</v>
      </c>
      <c r="C98" s="108">
        <v>0</v>
      </c>
      <c r="D98" s="113">
        <f>$D$96</f>
        <v>1200</v>
      </c>
      <c r="E98" s="114">
        <f>B98/D98</f>
        <v>8.3333333333333339E-4</v>
      </c>
      <c r="F98" s="115">
        <f>'PVH - SEM INSALUBRIDADE'!$E$109</f>
        <v>5971.5699467291388</v>
      </c>
      <c r="G98" s="115">
        <f t="shared" si="0"/>
        <v>4.9800000000000004</v>
      </c>
    </row>
    <row r="99" spans="1:7" ht="15" customHeight="1" x14ac:dyDescent="0.25">
      <c r="A99" s="109" t="s">
        <v>373</v>
      </c>
      <c r="B99" s="112">
        <v>1</v>
      </c>
      <c r="C99" s="108">
        <v>0</v>
      </c>
      <c r="D99" s="113">
        <f>$D$96</f>
        <v>1200</v>
      </c>
      <c r="E99" s="114">
        <f>B99/D99</f>
        <v>8.3333333333333339E-4</v>
      </c>
      <c r="F99" s="115">
        <f>'Correios e Aero - com INSAL.'!$E$111</f>
        <v>7427.7065769501469</v>
      </c>
      <c r="G99" s="115">
        <f t="shared" si="0"/>
        <v>6.19</v>
      </c>
    </row>
    <row r="100" spans="1:7" ht="15" customHeight="1" x14ac:dyDescent="0.25">
      <c r="A100" s="347" t="s">
        <v>17</v>
      </c>
      <c r="B100" s="348"/>
      <c r="C100" s="348"/>
      <c r="D100" s="348"/>
      <c r="E100" s="348"/>
      <c r="F100" s="348"/>
      <c r="G100" s="121">
        <f>SUM(G96:G99)</f>
        <v>23.53</v>
      </c>
    </row>
    <row r="102" spans="1:7" ht="15" customHeight="1" x14ac:dyDescent="0.25">
      <c r="A102" s="349" t="s">
        <v>216</v>
      </c>
      <c r="B102" s="350"/>
      <c r="C102" s="350"/>
      <c r="D102" s="350"/>
      <c r="E102" s="350"/>
      <c r="F102" s="350"/>
      <c r="G102" s="351"/>
    </row>
    <row r="103" spans="1:7" ht="15" customHeight="1" x14ac:dyDescent="0.25">
      <c r="A103" s="109" t="s">
        <v>198</v>
      </c>
      <c r="B103" s="352" t="s">
        <v>199</v>
      </c>
      <c r="C103" s="353"/>
      <c r="D103" s="353"/>
      <c r="E103" s="354"/>
      <c r="F103" s="110" t="s">
        <v>200</v>
      </c>
      <c r="G103" s="110" t="s">
        <v>197</v>
      </c>
    </row>
    <row r="104" spans="1:7" ht="15" customHeight="1" x14ac:dyDescent="0.25">
      <c r="A104" s="109" t="str">
        <f>$A$96</f>
        <v>Servente Insalubre CIAC</v>
      </c>
      <c r="B104" s="112">
        <v>1</v>
      </c>
      <c r="C104" s="108">
        <v>0</v>
      </c>
      <c r="D104" s="113">
        <f>$D$96</f>
        <v>1200</v>
      </c>
      <c r="E104" s="114">
        <f>B104/D104</f>
        <v>8.3333333333333339E-4</v>
      </c>
      <c r="F104" s="115">
        <f>'CIAC - COM INSALUBRIDADE'!$E$111</f>
        <v>7340.4621466871267</v>
      </c>
      <c r="G104" s="115">
        <f t="shared" ref="G104:G105" si="1">ROUND(E104*F104,2)</f>
        <v>6.12</v>
      </c>
    </row>
    <row r="105" spans="1:7" ht="15" customHeight="1" x14ac:dyDescent="0.25">
      <c r="A105" s="109" t="str">
        <f>$A$97</f>
        <v>Servente Insalubre interior</v>
      </c>
      <c r="B105" s="112">
        <v>1</v>
      </c>
      <c r="C105" s="108">
        <v>0</v>
      </c>
      <c r="D105" s="113">
        <f>$D$96</f>
        <v>1200</v>
      </c>
      <c r="E105" s="114">
        <f>B105/D105</f>
        <v>8.3333333333333339E-4</v>
      </c>
      <c r="F105" s="115">
        <f>'GUAJARA - COM INSALUBRIDADE'!$E$111</f>
        <v>7488.9479369618039</v>
      </c>
      <c r="G105" s="115">
        <f t="shared" si="1"/>
        <v>6.24</v>
      </c>
    </row>
    <row r="106" spans="1:7" ht="15" customHeight="1" x14ac:dyDescent="0.25">
      <c r="A106" s="111" t="str">
        <f>$A$98</f>
        <v>Servente PVH</v>
      </c>
      <c r="B106" s="112">
        <v>1</v>
      </c>
      <c r="C106" s="108">
        <v>0</v>
      </c>
      <c r="D106" s="113">
        <f>$D$96</f>
        <v>1200</v>
      </c>
      <c r="E106" s="114">
        <f>B106/D106</f>
        <v>8.3333333333333339E-4</v>
      </c>
      <c r="F106" s="115">
        <f>'PVH - SEM INSALUBRIDADE'!$E$109</f>
        <v>5971.5699467291388</v>
      </c>
      <c r="G106" s="115">
        <f t="shared" ref="G106:G107" si="2">ROUND(E106*F106,2)</f>
        <v>4.9800000000000004</v>
      </c>
    </row>
    <row r="107" spans="1:7" ht="15" customHeight="1" x14ac:dyDescent="0.25">
      <c r="A107" s="111" t="str">
        <f>$A$99</f>
        <v>Servente Insalubre - Correios e Aerporto</v>
      </c>
      <c r="B107" s="112">
        <v>1</v>
      </c>
      <c r="C107" s="108">
        <v>0</v>
      </c>
      <c r="D107" s="113">
        <f>$D$96</f>
        <v>1200</v>
      </c>
      <c r="E107" s="114">
        <f>B107/D107</f>
        <v>8.3333333333333339E-4</v>
      </c>
      <c r="F107" s="115">
        <f>'Correios e Aero - com INSAL.'!$E$111</f>
        <v>7427.7065769501469</v>
      </c>
      <c r="G107" s="115">
        <f t="shared" si="2"/>
        <v>6.19</v>
      </c>
    </row>
    <row r="108" spans="1:7" ht="15" customHeight="1" x14ac:dyDescent="0.25">
      <c r="A108" s="347" t="s">
        <v>17</v>
      </c>
      <c r="B108" s="348"/>
      <c r="C108" s="348"/>
      <c r="D108" s="348"/>
      <c r="E108" s="348"/>
      <c r="F108" s="348"/>
      <c r="G108" s="121">
        <f>SUM(G104:G107)</f>
        <v>23.53</v>
      </c>
    </row>
    <row r="109" spans="1:7" ht="15" customHeight="1" x14ac:dyDescent="0.25">
      <c r="A109" s="116"/>
      <c r="B109" s="116"/>
      <c r="C109" s="116"/>
      <c r="D109" s="116"/>
      <c r="E109" s="116"/>
      <c r="F109" s="116"/>
      <c r="G109" s="116"/>
    </row>
    <row r="110" spans="1:7" ht="15" customHeight="1" x14ac:dyDescent="0.25">
      <c r="A110" s="349" t="s">
        <v>18</v>
      </c>
      <c r="B110" s="350"/>
      <c r="C110" s="350"/>
      <c r="D110" s="350"/>
      <c r="E110" s="350"/>
      <c r="F110" s="350"/>
      <c r="G110" s="351"/>
    </row>
    <row r="111" spans="1:7" ht="15" customHeight="1" x14ac:dyDescent="0.25">
      <c r="A111" s="109" t="s">
        <v>198</v>
      </c>
      <c r="B111" s="342" t="s">
        <v>199</v>
      </c>
      <c r="C111" s="343"/>
      <c r="D111" s="343"/>
      <c r="E111" s="343"/>
      <c r="F111" s="110" t="s">
        <v>200</v>
      </c>
      <c r="G111" s="110" t="s">
        <v>197</v>
      </c>
    </row>
    <row r="112" spans="1:7" ht="15" customHeight="1" x14ac:dyDescent="0.25">
      <c r="A112" s="109" t="str">
        <f>$A$96</f>
        <v>Servente Insalubre CIAC</v>
      </c>
      <c r="B112" s="112">
        <v>1</v>
      </c>
      <c r="C112" s="108">
        <v>0</v>
      </c>
      <c r="D112" s="113">
        <v>300</v>
      </c>
      <c r="E112" s="114">
        <f>B112/D112</f>
        <v>3.3333333333333335E-3</v>
      </c>
      <c r="F112" s="115">
        <f>'CIAC - COM INSALUBRIDADE'!$E$111</f>
        <v>7340.4621466871267</v>
      </c>
      <c r="G112" s="115">
        <f t="shared" ref="G112:G113" si="3">ROUND(E112*F112,2)</f>
        <v>24.47</v>
      </c>
    </row>
    <row r="113" spans="1:7" ht="15" customHeight="1" x14ac:dyDescent="0.25">
      <c r="A113" s="109" t="str">
        <f>$A$97</f>
        <v>Servente Insalubre interior</v>
      </c>
      <c r="B113" s="112">
        <v>1</v>
      </c>
      <c r="C113" s="108">
        <v>0</v>
      </c>
      <c r="D113" s="113">
        <f>$D$112</f>
        <v>300</v>
      </c>
      <c r="E113" s="114">
        <f>B113/D113</f>
        <v>3.3333333333333335E-3</v>
      </c>
      <c r="F113" s="115">
        <f>'GUAJARA - COM INSALUBRIDADE'!$E$111</f>
        <v>7488.9479369618039</v>
      </c>
      <c r="G113" s="115">
        <f t="shared" si="3"/>
        <v>24.96</v>
      </c>
    </row>
    <row r="114" spans="1:7" ht="15" customHeight="1" x14ac:dyDescent="0.25">
      <c r="A114" s="111" t="str">
        <f>$A$98</f>
        <v>Servente PVH</v>
      </c>
      <c r="B114" s="112">
        <f>B98</f>
        <v>1</v>
      </c>
      <c r="C114" s="108">
        <f>C98</f>
        <v>0</v>
      </c>
      <c r="D114" s="113">
        <f>$D$112</f>
        <v>300</v>
      </c>
      <c r="E114" s="114">
        <f>B114/D114</f>
        <v>3.3333333333333335E-3</v>
      </c>
      <c r="F114" s="115">
        <f>'PVH - SEM INSALUBRIDADE'!$E$109</f>
        <v>5971.5699467291388</v>
      </c>
      <c r="G114" s="115">
        <f t="shared" ref="G114:G115" si="4">ROUND(E114*F114,2)</f>
        <v>19.91</v>
      </c>
    </row>
    <row r="115" spans="1:7" ht="15" customHeight="1" x14ac:dyDescent="0.25">
      <c r="A115" s="111" t="str">
        <f>$A$99</f>
        <v>Servente Insalubre - Correios e Aerporto</v>
      </c>
      <c r="B115" s="112">
        <v>1</v>
      </c>
      <c r="C115" s="108">
        <v>0</v>
      </c>
      <c r="D115" s="113">
        <f>$D$112</f>
        <v>300</v>
      </c>
      <c r="E115" s="114">
        <f>B115/D115</f>
        <v>3.3333333333333335E-3</v>
      </c>
      <c r="F115" s="115">
        <f>'Correios e Aero - com INSAL.'!$E$111</f>
        <v>7427.7065769501469</v>
      </c>
      <c r="G115" s="115">
        <f t="shared" si="4"/>
        <v>24.76</v>
      </c>
    </row>
    <row r="116" spans="1:7" ht="15" customHeight="1" x14ac:dyDescent="0.25">
      <c r="A116" s="347" t="s">
        <v>17</v>
      </c>
      <c r="B116" s="348"/>
      <c r="C116" s="348"/>
      <c r="D116" s="348"/>
      <c r="E116" s="348"/>
      <c r="F116" s="348"/>
      <c r="G116" s="121">
        <f>SUM(G112:G115)</f>
        <v>94.100000000000009</v>
      </c>
    </row>
    <row r="118" spans="1:7" ht="15" customHeight="1" x14ac:dyDescent="0.25">
      <c r="A118" s="355" t="s">
        <v>215</v>
      </c>
      <c r="B118" s="348"/>
      <c r="C118" s="348"/>
      <c r="D118" s="348"/>
      <c r="E118" s="348"/>
      <c r="F118" s="348"/>
      <c r="G118" s="348"/>
    </row>
    <row r="119" spans="1:7" ht="15" customHeight="1" x14ac:dyDescent="0.25">
      <c r="A119" s="109" t="s">
        <v>198</v>
      </c>
      <c r="B119" s="342" t="s">
        <v>199</v>
      </c>
      <c r="C119" s="343"/>
      <c r="D119" s="343"/>
      <c r="E119" s="343"/>
      <c r="F119" s="110" t="s">
        <v>200</v>
      </c>
      <c r="G119" s="110" t="s">
        <v>197</v>
      </c>
    </row>
    <row r="120" spans="1:7" ht="15" customHeight="1" x14ac:dyDescent="0.25">
      <c r="A120" s="109" t="str">
        <f>$A$96</f>
        <v>Servente Insalubre CIAC</v>
      </c>
      <c r="B120" s="112">
        <v>1</v>
      </c>
      <c r="C120" s="108">
        <v>0</v>
      </c>
      <c r="D120" s="113">
        <v>2500</v>
      </c>
      <c r="E120" s="114">
        <f>B120/D120</f>
        <v>4.0000000000000002E-4</v>
      </c>
      <c r="F120" s="115">
        <f>'CIAC - COM INSALUBRIDADE'!$E$111</f>
        <v>7340.4621466871267</v>
      </c>
      <c r="G120" s="115">
        <f t="shared" ref="G120:G121" si="5">ROUND(E120*F120,2)</f>
        <v>2.94</v>
      </c>
    </row>
    <row r="121" spans="1:7" ht="15" customHeight="1" x14ac:dyDescent="0.25">
      <c r="A121" s="109" t="str">
        <f>$A$97</f>
        <v>Servente Insalubre interior</v>
      </c>
      <c r="B121" s="112">
        <v>1</v>
      </c>
      <c r="C121" s="108">
        <v>0</v>
      </c>
      <c r="D121" s="113">
        <f>D120</f>
        <v>2500</v>
      </c>
      <c r="E121" s="114">
        <f>B121/D121</f>
        <v>4.0000000000000002E-4</v>
      </c>
      <c r="F121" s="115">
        <f>'GUAJARA - COM INSALUBRIDADE'!$E$111</f>
        <v>7488.9479369618039</v>
      </c>
      <c r="G121" s="115">
        <f t="shared" si="5"/>
        <v>3</v>
      </c>
    </row>
    <row r="122" spans="1:7" ht="15" customHeight="1" x14ac:dyDescent="0.25">
      <c r="A122" s="111" t="str">
        <f>$A$98</f>
        <v>Servente PVH</v>
      </c>
      <c r="B122" s="112">
        <v>1</v>
      </c>
      <c r="C122" s="108">
        <f>C98</f>
        <v>0</v>
      </c>
      <c r="D122" s="113">
        <f t="shared" ref="D122:D123" si="6">D121</f>
        <v>2500</v>
      </c>
      <c r="E122" s="114">
        <f>B122/D122</f>
        <v>4.0000000000000002E-4</v>
      </c>
      <c r="F122" s="115">
        <f>'PVH - SEM INSALUBRIDADE'!$E$109</f>
        <v>5971.5699467291388</v>
      </c>
      <c r="G122" s="115">
        <f t="shared" ref="G122:G123" si="7">ROUND(E122*F122,2)</f>
        <v>2.39</v>
      </c>
    </row>
    <row r="123" spans="1:7" ht="15" customHeight="1" x14ac:dyDescent="0.25">
      <c r="A123" s="111" t="str">
        <f>$A$99</f>
        <v>Servente Insalubre - Correios e Aerporto</v>
      </c>
      <c r="B123" s="112">
        <v>1</v>
      </c>
      <c r="C123" s="108">
        <v>0</v>
      </c>
      <c r="D123" s="113">
        <f t="shared" si="6"/>
        <v>2500</v>
      </c>
      <c r="E123" s="114">
        <f>B123/D123</f>
        <v>4.0000000000000002E-4</v>
      </c>
      <c r="F123" s="115">
        <f>'Correios e Aero - com INSAL.'!$E$111</f>
        <v>7427.7065769501469</v>
      </c>
      <c r="G123" s="115">
        <f t="shared" si="7"/>
        <v>2.97</v>
      </c>
    </row>
    <row r="124" spans="1:7" ht="15" customHeight="1" x14ac:dyDescent="0.25">
      <c r="A124" s="347" t="s">
        <v>17</v>
      </c>
      <c r="B124" s="348"/>
      <c r="C124" s="348"/>
      <c r="D124" s="348"/>
      <c r="E124" s="348"/>
      <c r="F124" s="348"/>
      <c r="G124" s="121">
        <f>SUM(G120:G123)</f>
        <v>11.3</v>
      </c>
    </row>
    <row r="126" spans="1:7" ht="15" customHeight="1" x14ac:dyDescent="0.25">
      <c r="A126" s="368" t="s">
        <v>19</v>
      </c>
      <c r="B126" s="369"/>
      <c r="C126" s="369"/>
      <c r="D126" s="369"/>
      <c r="E126" s="369"/>
      <c r="F126" s="369"/>
      <c r="G126" s="370"/>
    </row>
    <row r="127" spans="1:7" ht="15" customHeight="1" x14ac:dyDescent="0.25">
      <c r="A127" s="349" t="s">
        <v>20</v>
      </c>
      <c r="B127" s="350"/>
      <c r="C127" s="350"/>
      <c r="D127" s="350"/>
      <c r="E127" s="350"/>
      <c r="F127" s="350"/>
      <c r="G127" s="351"/>
    </row>
    <row r="128" spans="1:7" ht="15" customHeight="1" x14ac:dyDescent="0.25">
      <c r="A128" s="109" t="s">
        <v>198</v>
      </c>
      <c r="B128" s="342" t="s">
        <v>199</v>
      </c>
      <c r="C128" s="343"/>
      <c r="D128" s="343"/>
      <c r="E128" s="343"/>
      <c r="F128" s="110" t="s">
        <v>200</v>
      </c>
      <c r="G128" s="110" t="s">
        <v>197</v>
      </c>
    </row>
    <row r="129" spans="1:7" ht="15" customHeight="1" x14ac:dyDescent="0.25">
      <c r="A129" s="109" t="str">
        <f>$A$96</f>
        <v>Servente Insalubre CIAC</v>
      </c>
      <c r="B129" s="112">
        <v>1</v>
      </c>
      <c r="C129" s="108">
        <v>0</v>
      </c>
      <c r="D129" s="113">
        <v>2700</v>
      </c>
      <c r="E129" s="114">
        <f>B129/D129</f>
        <v>3.7037037037037035E-4</v>
      </c>
      <c r="F129" s="115">
        <f>'CIAC - COM INSALUBRIDADE'!$E$111</f>
        <v>7340.4621466871267</v>
      </c>
      <c r="G129" s="115">
        <f t="shared" ref="G129:G130" si="8">ROUND(E129*F129,2)</f>
        <v>2.72</v>
      </c>
    </row>
    <row r="130" spans="1:7" ht="15" customHeight="1" x14ac:dyDescent="0.25">
      <c r="A130" s="109" t="str">
        <f>$A$97</f>
        <v>Servente Insalubre interior</v>
      </c>
      <c r="B130" s="112">
        <v>1</v>
      </c>
      <c r="C130" s="108">
        <v>0</v>
      </c>
      <c r="D130" s="113">
        <f>$D$129</f>
        <v>2700</v>
      </c>
      <c r="E130" s="114">
        <f>B130/D130</f>
        <v>3.7037037037037035E-4</v>
      </c>
      <c r="F130" s="115">
        <f>'GUAJARA - COM INSALUBRIDADE'!$E$111</f>
        <v>7488.9479369618039</v>
      </c>
      <c r="G130" s="115">
        <f t="shared" si="8"/>
        <v>2.77</v>
      </c>
    </row>
    <row r="131" spans="1:7" ht="15" customHeight="1" x14ac:dyDescent="0.25">
      <c r="A131" s="111" t="str">
        <f>$A$98</f>
        <v>Servente PVH</v>
      </c>
      <c r="B131" s="112">
        <f>B98</f>
        <v>1</v>
      </c>
      <c r="C131" s="108">
        <f>C98</f>
        <v>0</v>
      </c>
      <c r="D131" s="113">
        <f>$D$129</f>
        <v>2700</v>
      </c>
      <c r="E131" s="114">
        <f>B131/D131</f>
        <v>3.7037037037037035E-4</v>
      </c>
      <c r="F131" s="115">
        <f>'PVH - SEM INSALUBRIDADE'!$E$109</f>
        <v>5971.5699467291388</v>
      </c>
      <c r="G131" s="115">
        <f t="shared" ref="G131:G132" si="9">ROUND(E131*F131,2)</f>
        <v>2.21</v>
      </c>
    </row>
    <row r="132" spans="1:7" ht="15" customHeight="1" x14ac:dyDescent="0.25">
      <c r="A132" s="111" t="str">
        <f>$A$99</f>
        <v>Servente Insalubre - Correios e Aerporto</v>
      </c>
      <c r="B132" s="112">
        <v>1</v>
      </c>
      <c r="C132" s="108">
        <v>0</v>
      </c>
      <c r="D132" s="113">
        <f>$D$129</f>
        <v>2700</v>
      </c>
      <c r="E132" s="114">
        <f>B132/D132</f>
        <v>3.7037037037037035E-4</v>
      </c>
      <c r="F132" s="115">
        <f>'Correios e Aero - com INSAL.'!$E$111</f>
        <v>7427.7065769501469</v>
      </c>
      <c r="G132" s="115">
        <f t="shared" si="9"/>
        <v>2.75</v>
      </c>
    </row>
    <row r="133" spans="1:7" ht="15" customHeight="1" x14ac:dyDescent="0.25">
      <c r="A133" s="347" t="s">
        <v>17</v>
      </c>
      <c r="B133" s="348"/>
      <c r="C133" s="348"/>
      <c r="D133" s="348"/>
      <c r="E133" s="348"/>
      <c r="F133" s="348"/>
      <c r="G133" s="121">
        <f>SUM(G129:G132)</f>
        <v>10.45</v>
      </c>
    </row>
    <row r="134" spans="1:7" ht="27" customHeight="1" x14ac:dyDescent="0.25">
      <c r="A134" s="117"/>
      <c r="B134" s="117"/>
      <c r="C134" s="117"/>
      <c r="D134" s="120"/>
      <c r="E134" s="117"/>
      <c r="F134" s="118"/>
      <c r="G134" s="119"/>
    </row>
    <row r="135" spans="1:7" ht="15" customHeight="1" x14ac:dyDescent="0.25">
      <c r="A135" s="355" t="s">
        <v>10</v>
      </c>
      <c r="B135" s="348"/>
      <c r="C135" s="348"/>
      <c r="D135" s="348"/>
      <c r="E135" s="348"/>
      <c r="F135" s="348"/>
      <c r="G135" s="348"/>
    </row>
    <row r="136" spans="1:7" ht="15" customHeight="1" x14ac:dyDescent="0.25">
      <c r="A136" s="109" t="s">
        <v>198</v>
      </c>
      <c r="B136" s="342" t="s">
        <v>199</v>
      </c>
      <c r="C136" s="343"/>
      <c r="D136" s="343"/>
      <c r="E136" s="343"/>
      <c r="F136" s="110" t="s">
        <v>200</v>
      </c>
      <c r="G136" s="110" t="s">
        <v>197</v>
      </c>
    </row>
    <row r="137" spans="1:7" ht="15" customHeight="1" x14ac:dyDescent="0.25">
      <c r="A137" s="109" t="str">
        <f>$A$96</f>
        <v>Servente Insalubre CIAC</v>
      </c>
      <c r="B137" s="112">
        <v>1</v>
      </c>
      <c r="C137" s="108">
        <v>0</v>
      </c>
      <c r="D137" s="113">
        <v>9000</v>
      </c>
      <c r="E137" s="114">
        <f>B137/D137</f>
        <v>1.1111111111111112E-4</v>
      </c>
      <c r="F137" s="115">
        <f>'CIAC - COM INSALUBRIDADE'!$E$111</f>
        <v>7340.4621466871267</v>
      </c>
      <c r="G137" s="115">
        <f t="shared" ref="G137:G138" si="10">ROUND(E137*F137,2)</f>
        <v>0.82</v>
      </c>
    </row>
    <row r="138" spans="1:7" ht="15" customHeight="1" x14ac:dyDescent="0.25">
      <c r="A138" s="109" t="str">
        <f>$A$97</f>
        <v>Servente Insalubre interior</v>
      </c>
      <c r="B138" s="112">
        <v>1</v>
      </c>
      <c r="C138" s="108">
        <v>0</v>
      </c>
      <c r="D138" s="113">
        <f>$D$137</f>
        <v>9000</v>
      </c>
      <c r="E138" s="114">
        <f>B138/D138</f>
        <v>1.1111111111111112E-4</v>
      </c>
      <c r="F138" s="115">
        <f>'GUAJARA - COM INSALUBRIDADE'!$E$111</f>
        <v>7488.9479369618039</v>
      </c>
      <c r="G138" s="115">
        <f t="shared" si="10"/>
        <v>0.83</v>
      </c>
    </row>
    <row r="139" spans="1:7" ht="15" customHeight="1" x14ac:dyDescent="0.25">
      <c r="A139" s="111" t="str">
        <f>$A$98</f>
        <v>Servente PVH</v>
      </c>
      <c r="B139" s="112">
        <f>B98</f>
        <v>1</v>
      </c>
      <c r="C139" s="108">
        <f>C98</f>
        <v>0</v>
      </c>
      <c r="D139" s="113">
        <f>$D$137</f>
        <v>9000</v>
      </c>
      <c r="E139" s="114">
        <f>B139/D139</f>
        <v>1.1111111111111112E-4</v>
      </c>
      <c r="F139" s="115">
        <f>'PVH - SEM INSALUBRIDADE'!$E$109</f>
        <v>5971.5699467291388</v>
      </c>
      <c r="G139" s="115">
        <f t="shared" ref="G139:G140" si="11">ROUND(E139*F139,2)</f>
        <v>0.66</v>
      </c>
    </row>
    <row r="140" spans="1:7" ht="15" customHeight="1" x14ac:dyDescent="0.25">
      <c r="A140" s="111" t="str">
        <f>$A$99</f>
        <v>Servente Insalubre - Correios e Aerporto</v>
      </c>
      <c r="B140" s="112">
        <v>1</v>
      </c>
      <c r="C140" s="108">
        <v>0</v>
      </c>
      <c r="D140" s="113">
        <f>$D$137</f>
        <v>9000</v>
      </c>
      <c r="E140" s="114">
        <f>B140/D140</f>
        <v>1.1111111111111112E-4</v>
      </c>
      <c r="F140" s="115">
        <f>'Correios e Aero - com INSAL.'!$E$111</f>
        <v>7427.7065769501469</v>
      </c>
      <c r="G140" s="115">
        <f t="shared" si="11"/>
        <v>0.83</v>
      </c>
    </row>
    <row r="141" spans="1:7" ht="15" customHeight="1" x14ac:dyDescent="0.25">
      <c r="A141" s="347" t="s">
        <v>17</v>
      </c>
      <c r="B141" s="348"/>
      <c r="C141" s="348"/>
      <c r="D141" s="348"/>
      <c r="E141" s="348"/>
      <c r="F141" s="348"/>
      <c r="G141" s="121">
        <f>SUM(G137:G140)</f>
        <v>3.14</v>
      </c>
    </row>
    <row r="142" spans="1:7" ht="15" customHeight="1" x14ac:dyDescent="0.25">
      <c r="A142" s="117"/>
      <c r="B142" s="117"/>
      <c r="C142" s="117"/>
      <c r="D142" s="120"/>
      <c r="E142" s="117"/>
      <c r="F142" s="118"/>
      <c r="G142" s="119"/>
    </row>
    <row r="143" spans="1:7" ht="15" customHeight="1" x14ac:dyDescent="0.25">
      <c r="A143" s="355" t="s">
        <v>149</v>
      </c>
      <c r="B143" s="348"/>
      <c r="C143" s="348"/>
      <c r="D143" s="348"/>
      <c r="E143" s="348"/>
      <c r="F143" s="348"/>
      <c r="G143" s="348"/>
    </row>
    <row r="144" spans="1:7" ht="15" customHeight="1" x14ac:dyDescent="0.25">
      <c r="A144" s="109" t="s">
        <v>198</v>
      </c>
      <c r="B144" s="342" t="s">
        <v>199</v>
      </c>
      <c r="C144" s="343"/>
      <c r="D144" s="343"/>
      <c r="E144" s="343"/>
      <c r="F144" s="110" t="s">
        <v>200</v>
      </c>
      <c r="G144" s="110" t="s">
        <v>197</v>
      </c>
    </row>
    <row r="145" spans="1:10" ht="15" customHeight="1" x14ac:dyDescent="0.25">
      <c r="A145" s="109" t="str">
        <f>$A$96</f>
        <v>Servente Insalubre CIAC</v>
      </c>
      <c r="B145" s="112">
        <v>1</v>
      </c>
      <c r="C145" s="108">
        <v>0</v>
      </c>
      <c r="D145" s="113">
        <v>2700</v>
      </c>
      <c r="E145" s="114">
        <f>B145/D145</f>
        <v>3.7037037037037035E-4</v>
      </c>
      <c r="F145" s="115">
        <f>'CIAC - COM INSALUBRIDADE'!$E$111</f>
        <v>7340.4621466871267</v>
      </c>
      <c r="G145" s="115">
        <f t="shared" ref="G145:G146" si="12">ROUND(E145*F145,2)</f>
        <v>2.72</v>
      </c>
    </row>
    <row r="146" spans="1:10" ht="15" customHeight="1" x14ac:dyDescent="0.25">
      <c r="A146" s="109" t="str">
        <f>$A$97</f>
        <v>Servente Insalubre interior</v>
      </c>
      <c r="B146" s="112">
        <v>1</v>
      </c>
      <c r="C146" s="108">
        <v>0</v>
      </c>
      <c r="D146" s="113">
        <f>$D$145</f>
        <v>2700</v>
      </c>
      <c r="E146" s="114">
        <f>B146/D146</f>
        <v>3.7037037037037035E-4</v>
      </c>
      <c r="F146" s="115">
        <f>'GUAJARA - COM INSALUBRIDADE'!$E$111</f>
        <v>7488.9479369618039</v>
      </c>
      <c r="G146" s="115">
        <f t="shared" si="12"/>
        <v>2.77</v>
      </c>
    </row>
    <row r="147" spans="1:10" ht="15" customHeight="1" x14ac:dyDescent="0.25">
      <c r="A147" s="111" t="str">
        <f>$A$98</f>
        <v>Servente PVH</v>
      </c>
      <c r="B147" s="112">
        <f>B98</f>
        <v>1</v>
      </c>
      <c r="C147" s="108">
        <f>C98</f>
        <v>0</v>
      </c>
      <c r="D147" s="113">
        <f>$D$145</f>
        <v>2700</v>
      </c>
      <c r="E147" s="114">
        <f>B147/D147</f>
        <v>3.7037037037037035E-4</v>
      </c>
      <c r="F147" s="115">
        <f>'PVH - SEM INSALUBRIDADE'!$E$109</f>
        <v>5971.5699467291388</v>
      </c>
      <c r="G147" s="115">
        <f t="shared" ref="G147:G148" si="13">ROUND(E147*F147,2)</f>
        <v>2.21</v>
      </c>
    </row>
    <row r="148" spans="1:10" ht="15" customHeight="1" x14ac:dyDescent="0.25">
      <c r="A148" s="111" t="str">
        <f>$A$99</f>
        <v>Servente Insalubre - Correios e Aerporto</v>
      </c>
      <c r="B148" s="112">
        <v>1</v>
      </c>
      <c r="C148" s="108">
        <v>0</v>
      </c>
      <c r="D148" s="113">
        <f>$D$145</f>
        <v>2700</v>
      </c>
      <c r="E148" s="114">
        <f>B148/D148</f>
        <v>3.7037037037037035E-4</v>
      </c>
      <c r="F148" s="115">
        <f>'Correios e Aero - com INSAL.'!$E$111</f>
        <v>7427.7065769501469</v>
      </c>
      <c r="G148" s="115">
        <f t="shared" si="13"/>
        <v>2.75</v>
      </c>
    </row>
    <row r="149" spans="1:10" ht="15" customHeight="1" x14ac:dyDescent="0.25">
      <c r="A149" s="347" t="s">
        <v>17</v>
      </c>
      <c r="B149" s="348"/>
      <c r="C149" s="348"/>
      <c r="D149" s="348"/>
      <c r="E149" s="348"/>
      <c r="F149" s="348"/>
      <c r="G149" s="121">
        <f>SUM(G145:G148)</f>
        <v>10.45</v>
      </c>
    </row>
    <row r="150" spans="1:10" ht="15" customHeight="1" x14ac:dyDescent="0.25">
      <c r="A150" s="135"/>
      <c r="B150" s="136"/>
      <c r="C150" s="136"/>
      <c r="D150" s="136"/>
      <c r="E150" s="136"/>
      <c r="F150" s="136"/>
      <c r="G150" s="137"/>
    </row>
    <row r="152" spans="1:10" ht="15" customHeight="1" x14ac:dyDescent="0.25">
      <c r="A152" s="371" t="s">
        <v>22</v>
      </c>
      <c r="B152" s="372"/>
      <c r="C152" s="372"/>
      <c r="D152" s="372"/>
      <c r="E152" s="372"/>
      <c r="F152" s="372"/>
      <c r="G152" s="372"/>
      <c r="H152" s="372"/>
      <c r="I152" s="372"/>
      <c r="J152" s="373"/>
    </row>
    <row r="153" spans="1:10" ht="15" customHeight="1" x14ac:dyDescent="0.25">
      <c r="A153" s="344" t="s">
        <v>217</v>
      </c>
      <c r="B153" s="345"/>
      <c r="C153" s="345"/>
      <c r="D153" s="345"/>
      <c r="E153" s="345"/>
      <c r="F153" s="345"/>
      <c r="G153" s="345"/>
      <c r="H153" s="345"/>
      <c r="I153" s="345"/>
      <c r="J153" s="346"/>
    </row>
    <row r="154" spans="1:10" ht="15" customHeight="1" x14ac:dyDescent="0.25">
      <c r="A154" s="75" t="s">
        <v>201</v>
      </c>
      <c r="B154" s="374" t="s">
        <v>202</v>
      </c>
      <c r="C154" s="375"/>
      <c r="D154" s="375"/>
      <c r="E154" s="376"/>
      <c r="F154" s="75" t="s">
        <v>203</v>
      </c>
      <c r="G154" s="75" t="s">
        <v>204</v>
      </c>
      <c r="H154" s="75" t="s">
        <v>205</v>
      </c>
      <c r="I154" s="75" t="s">
        <v>206</v>
      </c>
      <c r="J154" s="75" t="s">
        <v>26</v>
      </c>
    </row>
    <row r="155" spans="1:10" ht="15" customHeight="1" x14ac:dyDescent="0.25">
      <c r="A155" s="109" t="str">
        <f>$A$96</f>
        <v>Servente Insalubre CIAC</v>
      </c>
      <c r="B155" s="141">
        <v>1</v>
      </c>
      <c r="C155" s="142">
        <v>0</v>
      </c>
      <c r="D155" s="143">
        <v>160</v>
      </c>
      <c r="E155" s="144">
        <f>B155/D155</f>
        <v>6.2500000000000003E-3</v>
      </c>
      <c r="F155" s="75">
        <v>8</v>
      </c>
      <c r="G155" s="141">
        <f t="shared" ref="G155:G158" si="14">1/1132.6</f>
        <v>8.8292424509977055E-4</v>
      </c>
      <c r="H155" s="145">
        <f>E155*F155*G155</f>
        <v>4.4146212254988529E-5</v>
      </c>
      <c r="I155" s="115">
        <f>'CIAC - COM INSALUBRIDADE'!$E$111</f>
        <v>7340.4621466871267</v>
      </c>
      <c r="J155" s="146">
        <f>I155*H155</f>
        <v>0.32405359997735866</v>
      </c>
    </row>
    <row r="156" spans="1:10" ht="15" customHeight="1" x14ac:dyDescent="0.25">
      <c r="A156" s="109" t="str">
        <f>$A$97</f>
        <v>Servente Insalubre interior</v>
      </c>
      <c r="B156" s="141">
        <v>1</v>
      </c>
      <c r="C156" s="142">
        <v>0</v>
      </c>
      <c r="D156" s="143">
        <f>$D$155</f>
        <v>160</v>
      </c>
      <c r="E156" s="144">
        <f>B156/D156</f>
        <v>6.2500000000000003E-3</v>
      </c>
      <c r="F156" s="75">
        <v>8</v>
      </c>
      <c r="G156" s="141">
        <f t="shared" si="14"/>
        <v>8.8292424509977055E-4</v>
      </c>
      <c r="H156" s="145">
        <f>E156*F156*G156</f>
        <v>4.4146212254988529E-5</v>
      </c>
      <c r="I156" s="115">
        <f>'GUAJARA - COM INSALUBRIDADE'!$E$111</f>
        <v>7488.9479369618039</v>
      </c>
      <c r="J156" s="146">
        <f>I156*H156</f>
        <v>0.33060868519167425</v>
      </c>
    </row>
    <row r="157" spans="1:10" ht="15" customHeight="1" x14ac:dyDescent="0.25">
      <c r="A157" s="111" t="str">
        <f>$A$98</f>
        <v>Servente PVH</v>
      </c>
      <c r="B157" s="141">
        <v>1</v>
      </c>
      <c r="C157" s="142">
        <v>0</v>
      </c>
      <c r="D157" s="143">
        <f>$D$155</f>
        <v>160</v>
      </c>
      <c r="E157" s="144">
        <f>B157/D157</f>
        <v>6.2500000000000003E-3</v>
      </c>
      <c r="F157" s="141">
        <v>8</v>
      </c>
      <c r="G157" s="141">
        <f t="shared" si="14"/>
        <v>8.8292424509977055E-4</v>
      </c>
      <c r="H157" s="145">
        <f>E157*F157*G157</f>
        <v>4.4146212254988529E-5</v>
      </c>
      <c r="I157" s="115">
        <f>'PVH - SEM INSALUBRIDADE'!$E$109</f>
        <v>5971.5699467291388</v>
      </c>
      <c r="J157" s="146">
        <f>I157*H157</f>
        <v>0.26362219436381512</v>
      </c>
    </row>
    <row r="158" spans="1:10" ht="15" customHeight="1" x14ac:dyDescent="0.25">
      <c r="A158" s="111" t="str">
        <f>$A$99</f>
        <v>Servente Insalubre - Correios e Aerporto</v>
      </c>
      <c r="B158" s="141">
        <v>1</v>
      </c>
      <c r="C158" s="142">
        <v>0</v>
      </c>
      <c r="D158" s="143">
        <f>$D$155</f>
        <v>160</v>
      </c>
      <c r="E158" s="144">
        <f>B158/D158</f>
        <v>6.2500000000000003E-3</v>
      </c>
      <c r="F158" s="141">
        <v>8</v>
      </c>
      <c r="G158" s="141">
        <f t="shared" si="14"/>
        <v>8.8292424509977055E-4</v>
      </c>
      <c r="H158" s="145">
        <f>E158*F158*G158</f>
        <v>4.4146212254988529E-5</v>
      </c>
      <c r="I158" s="115">
        <f>'Correios e Aero - com INSAL.'!$E$111</f>
        <v>7427.7065769501469</v>
      </c>
      <c r="J158" s="146">
        <f>I158*H158</f>
        <v>0.32790511111381548</v>
      </c>
    </row>
    <row r="159" spans="1:10" ht="15" customHeight="1" x14ac:dyDescent="0.25">
      <c r="A159" s="132" t="s">
        <v>17</v>
      </c>
      <c r="B159" s="133"/>
      <c r="C159" s="133"/>
      <c r="D159" s="133"/>
      <c r="E159" s="133"/>
      <c r="F159" s="133"/>
      <c r="G159" s="133"/>
      <c r="H159" s="133"/>
      <c r="I159" s="134"/>
      <c r="J159" s="121">
        <f>SUM(J155:J158)</f>
        <v>1.2461895906466633</v>
      </c>
    </row>
    <row r="160" spans="1:10" ht="12.75" customHeight="1" x14ac:dyDescent="0.25">
      <c r="A160" s="138"/>
      <c r="B160" s="139"/>
      <c r="C160" s="139"/>
      <c r="D160" s="139"/>
      <c r="E160" s="139"/>
      <c r="F160" s="139"/>
      <c r="G160" s="139"/>
      <c r="H160" s="139"/>
      <c r="I160" s="139"/>
      <c r="J160" s="140"/>
    </row>
    <row r="161" spans="1:10" ht="15" customHeight="1" x14ac:dyDescent="0.25">
      <c r="A161" s="344" t="s">
        <v>12</v>
      </c>
      <c r="B161" s="345"/>
      <c r="C161" s="345"/>
      <c r="D161" s="345"/>
      <c r="E161" s="345"/>
      <c r="F161" s="345"/>
      <c r="G161" s="345"/>
      <c r="H161" s="345"/>
      <c r="I161" s="345"/>
      <c r="J161" s="346"/>
    </row>
    <row r="162" spans="1:10" ht="15" customHeight="1" x14ac:dyDescent="0.25">
      <c r="A162" s="75" t="s">
        <v>201</v>
      </c>
      <c r="B162" s="374" t="s">
        <v>202</v>
      </c>
      <c r="C162" s="375"/>
      <c r="D162" s="375"/>
      <c r="E162" s="376"/>
      <c r="F162" s="75" t="s">
        <v>203</v>
      </c>
      <c r="G162" s="75" t="s">
        <v>204</v>
      </c>
      <c r="H162" s="75" t="s">
        <v>205</v>
      </c>
      <c r="I162" s="75" t="s">
        <v>206</v>
      </c>
      <c r="J162" s="75" t="s">
        <v>26</v>
      </c>
    </row>
    <row r="163" spans="1:10" ht="15" customHeight="1" x14ac:dyDescent="0.25">
      <c r="A163" s="109" t="str">
        <f>$A$96</f>
        <v>Servente Insalubre CIAC</v>
      </c>
      <c r="B163" s="141">
        <v>1</v>
      </c>
      <c r="C163" s="142">
        <v>0</v>
      </c>
      <c r="D163" s="143">
        <v>380</v>
      </c>
      <c r="E163" s="144">
        <f>B163/D163</f>
        <v>2.631578947368421E-3</v>
      </c>
      <c r="F163" s="75">
        <v>8</v>
      </c>
      <c r="G163" s="141">
        <f t="shared" ref="G163:G164" si="15">1/1132.6</f>
        <v>8.8292424509977055E-4</v>
      </c>
      <c r="H163" s="145">
        <f>E163*F163*G163</f>
        <v>1.8587878844205695E-5</v>
      </c>
      <c r="I163" s="115">
        <f>'CIAC - COM INSALUBRIDADE'!$E$111</f>
        <v>7340.4621466871267</v>
      </c>
      <c r="J163" s="146">
        <f>I163*H163</f>
        <v>0.13644362104309837</v>
      </c>
    </row>
    <row r="164" spans="1:10" ht="15" customHeight="1" x14ac:dyDescent="0.25">
      <c r="A164" s="109" t="str">
        <f>$A$97</f>
        <v>Servente Insalubre interior</v>
      </c>
      <c r="B164" s="141">
        <v>1</v>
      </c>
      <c r="C164" s="142">
        <v>0</v>
      </c>
      <c r="D164" s="143">
        <f>$D$163</f>
        <v>380</v>
      </c>
      <c r="E164" s="144">
        <f>B164/D164</f>
        <v>2.631578947368421E-3</v>
      </c>
      <c r="F164" s="75">
        <v>8</v>
      </c>
      <c r="G164" s="141">
        <f t="shared" si="15"/>
        <v>8.8292424509977055E-4</v>
      </c>
      <c r="H164" s="145">
        <f>E164*F164*G164</f>
        <v>1.8587878844205695E-5</v>
      </c>
      <c r="I164" s="115">
        <f>'GUAJARA - COM INSALUBRIDADE'!$E$111</f>
        <v>7488.9479369618039</v>
      </c>
      <c r="J164" s="146">
        <f>I164*H164</f>
        <v>0.1392036569228102</v>
      </c>
    </row>
    <row r="165" spans="1:10" ht="15" customHeight="1" x14ac:dyDescent="0.25">
      <c r="A165" s="111" t="str">
        <f>$A$98</f>
        <v>Servente PVH</v>
      </c>
      <c r="B165" s="141">
        <v>1</v>
      </c>
      <c r="C165" s="142">
        <v>0</v>
      </c>
      <c r="D165" s="143">
        <f>$D$163</f>
        <v>380</v>
      </c>
      <c r="E165" s="144">
        <f>B165/D165</f>
        <v>2.631578947368421E-3</v>
      </c>
      <c r="F165" s="141">
        <v>8</v>
      </c>
      <c r="G165" s="141">
        <f t="shared" ref="G165:G166" si="16">1/1132.6</f>
        <v>8.8292424509977055E-4</v>
      </c>
      <c r="H165" s="145">
        <f>E165*F165*G165</f>
        <v>1.8587878844205695E-5</v>
      </c>
      <c r="I165" s="115">
        <f>'PVH - SEM INSALUBRIDADE'!$E$109</f>
        <v>5971.5699467291388</v>
      </c>
      <c r="J165" s="146">
        <f>I165*H165</f>
        <v>0.11099881867950109</v>
      </c>
    </row>
    <row r="166" spans="1:10" ht="15" customHeight="1" x14ac:dyDescent="0.25">
      <c r="A166" s="111" t="str">
        <f>$A$99</f>
        <v>Servente Insalubre - Correios e Aerporto</v>
      </c>
      <c r="B166" s="141">
        <v>1</v>
      </c>
      <c r="C166" s="142">
        <v>0</v>
      </c>
      <c r="D166" s="143">
        <f>$D$163</f>
        <v>380</v>
      </c>
      <c r="E166" s="144">
        <f>B166/D166</f>
        <v>2.631578947368421E-3</v>
      </c>
      <c r="F166" s="141">
        <v>8</v>
      </c>
      <c r="G166" s="141">
        <f t="shared" si="16"/>
        <v>8.8292424509977055E-4</v>
      </c>
      <c r="H166" s="145">
        <f>E166*F166*G166</f>
        <v>1.8587878844205695E-5</v>
      </c>
      <c r="I166" s="115">
        <f>'Correios e Aero - com INSAL.'!$E$111</f>
        <v>7427.7065769501469</v>
      </c>
      <c r="J166" s="146">
        <f>I166*H166</f>
        <v>0.13806530994265914</v>
      </c>
    </row>
    <row r="167" spans="1:10" ht="15" customHeight="1" x14ac:dyDescent="0.25">
      <c r="A167" s="132" t="s">
        <v>17</v>
      </c>
      <c r="B167" s="133"/>
      <c r="C167" s="133"/>
      <c r="D167" s="133"/>
      <c r="E167" s="133"/>
      <c r="F167" s="133"/>
      <c r="G167" s="133"/>
      <c r="H167" s="133"/>
      <c r="I167" s="134"/>
      <c r="J167" s="121">
        <f>SUM(J163:J166)</f>
        <v>0.52471140658806892</v>
      </c>
    </row>
    <row r="168" spans="1:10" ht="15" customHeight="1" x14ac:dyDescent="0.25">
      <c r="A168" s="8"/>
      <c r="B168" s="8"/>
      <c r="C168" s="8"/>
      <c r="D168" s="68"/>
      <c r="E168" s="9"/>
      <c r="F168" s="8"/>
      <c r="G168" s="8"/>
      <c r="H168" s="10"/>
      <c r="I168" s="11"/>
      <c r="J168" s="7"/>
    </row>
    <row r="169" spans="1:10" ht="15" customHeight="1" x14ac:dyDescent="0.25">
      <c r="A169" s="344" t="s">
        <v>27</v>
      </c>
      <c r="B169" s="345"/>
      <c r="C169" s="345"/>
      <c r="D169" s="345"/>
      <c r="E169" s="345"/>
      <c r="F169" s="345"/>
      <c r="G169" s="345"/>
      <c r="H169" s="345"/>
      <c r="I169" s="345"/>
      <c r="J169" s="346"/>
    </row>
    <row r="170" spans="1:10" ht="15" customHeight="1" x14ac:dyDescent="0.25">
      <c r="A170" s="75" t="s">
        <v>16</v>
      </c>
      <c r="B170" s="374" t="str">
        <f>B162</f>
        <v>(1) Produtividade (1/M2)</v>
      </c>
      <c r="C170" s="375"/>
      <c r="D170" s="375"/>
      <c r="E170" s="376"/>
      <c r="F170" s="75" t="str">
        <f>F162</f>
        <v>(2) Frequencia no mês (HORAS***)</v>
      </c>
      <c r="G170" s="75" t="s">
        <v>23</v>
      </c>
      <c r="H170" s="75" t="s">
        <v>24</v>
      </c>
      <c r="I170" s="75" t="s">
        <v>25</v>
      </c>
      <c r="J170" s="75" t="s">
        <v>26</v>
      </c>
    </row>
    <row r="171" spans="1:10" ht="15" customHeight="1" x14ac:dyDescent="0.25">
      <c r="A171" s="109" t="str">
        <f>$A$96</f>
        <v>Servente Insalubre CIAC</v>
      </c>
      <c r="B171" s="141">
        <v>1</v>
      </c>
      <c r="C171" s="142">
        <v>0</v>
      </c>
      <c r="D171" s="143">
        <f t="shared" ref="D171:D174" si="17">$D$163</f>
        <v>380</v>
      </c>
      <c r="E171" s="144">
        <f>B171/D171</f>
        <v>2.631578947368421E-3</v>
      </c>
      <c r="F171" s="75">
        <v>8</v>
      </c>
      <c r="G171" s="141">
        <f t="shared" ref="G171:G172" si="18">1/1132.6</f>
        <v>8.8292424509977055E-4</v>
      </c>
      <c r="H171" s="145">
        <f>E171*F171*G171</f>
        <v>1.8587878844205695E-5</v>
      </c>
      <c r="I171" s="115">
        <f>'CIAC - COM INSALUBRIDADE'!$E$111</f>
        <v>7340.4621466871267</v>
      </c>
      <c r="J171" s="146">
        <f>I171*H171</f>
        <v>0.13644362104309837</v>
      </c>
    </row>
    <row r="172" spans="1:10" ht="15" customHeight="1" x14ac:dyDescent="0.25">
      <c r="A172" s="109" t="str">
        <f>$A$97</f>
        <v>Servente Insalubre interior</v>
      </c>
      <c r="B172" s="141">
        <v>1</v>
      </c>
      <c r="C172" s="142">
        <v>0</v>
      </c>
      <c r="D172" s="143">
        <f t="shared" si="17"/>
        <v>380</v>
      </c>
      <c r="E172" s="144">
        <f>B172/D172</f>
        <v>2.631578947368421E-3</v>
      </c>
      <c r="F172" s="75">
        <v>8</v>
      </c>
      <c r="G172" s="141">
        <f t="shared" si="18"/>
        <v>8.8292424509977055E-4</v>
      </c>
      <c r="H172" s="145">
        <f>E172*F172*G172</f>
        <v>1.8587878844205695E-5</v>
      </c>
      <c r="I172" s="115">
        <f>'GUAJARA - COM INSALUBRIDADE'!$E$111</f>
        <v>7488.9479369618039</v>
      </c>
      <c r="J172" s="146">
        <f>I172*H172</f>
        <v>0.1392036569228102</v>
      </c>
    </row>
    <row r="173" spans="1:10" ht="15" customHeight="1" x14ac:dyDescent="0.25">
      <c r="A173" s="111" t="str">
        <f>$A$98</f>
        <v>Servente PVH</v>
      </c>
      <c r="B173" s="141">
        <v>1</v>
      </c>
      <c r="C173" s="142">
        <v>0</v>
      </c>
      <c r="D173" s="143">
        <f t="shared" si="17"/>
        <v>380</v>
      </c>
      <c r="E173" s="144">
        <f>B173/D173</f>
        <v>2.631578947368421E-3</v>
      </c>
      <c r="F173" s="141">
        <v>8</v>
      </c>
      <c r="G173" s="141">
        <f t="shared" ref="G173:G174" si="19">1/188.76</f>
        <v>5.2977325704598437E-3</v>
      </c>
      <c r="H173" s="145">
        <f>E173*F173*G173</f>
        <v>1.1153121200968092E-4</v>
      </c>
      <c r="I173" s="115">
        <f>'PVH - SEM INSALUBRIDADE'!$E$109</f>
        <v>5971.5699467291388</v>
      </c>
      <c r="J173" s="146">
        <f>I173*H173</f>
        <v>0.66601643375928654</v>
      </c>
    </row>
    <row r="174" spans="1:10" ht="15" customHeight="1" x14ac:dyDescent="0.25">
      <c r="A174" s="111" t="str">
        <f>$A$99</f>
        <v>Servente Insalubre - Correios e Aerporto</v>
      </c>
      <c r="B174" s="141">
        <v>1</v>
      </c>
      <c r="C174" s="142">
        <v>0</v>
      </c>
      <c r="D174" s="143">
        <f t="shared" si="17"/>
        <v>380</v>
      </c>
      <c r="E174" s="144">
        <f>B174/D174</f>
        <v>2.631578947368421E-3</v>
      </c>
      <c r="F174" s="141">
        <v>8</v>
      </c>
      <c r="G174" s="141">
        <f t="shared" si="19"/>
        <v>5.2977325704598437E-3</v>
      </c>
      <c r="H174" s="145">
        <f>E174*F174*G174</f>
        <v>1.1153121200968092E-4</v>
      </c>
      <c r="I174" s="115">
        <f>'Correios e Aero - com INSAL.'!$E$111</f>
        <v>7427.7065769501469</v>
      </c>
      <c r="J174" s="146">
        <f>I174*H174</f>
        <v>0.82842111697952814</v>
      </c>
    </row>
    <row r="175" spans="1:10" ht="15" customHeight="1" x14ac:dyDescent="0.25">
      <c r="A175" s="132" t="s">
        <v>17</v>
      </c>
      <c r="B175" s="133"/>
      <c r="C175" s="133"/>
      <c r="D175" s="133"/>
      <c r="E175" s="133"/>
      <c r="F175" s="133"/>
      <c r="G175" s="133"/>
      <c r="H175" s="133"/>
      <c r="I175" s="134"/>
      <c r="J175" s="121">
        <f>SUM(J171:J174)</f>
        <v>1.7700848287047233</v>
      </c>
    </row>
    <row r="176" spans="1:10" ht="15" customHeight="1" x14ac:dyDescent="0.25">
      <c r="A176" s="12"/>
      <c r="B176" s="13"/>
      <c r="C176" s="13"/>
      <c r="D176" s="69"/>
      <c r="E176" s="13"/>
      <c r="F176" s="13"/>
      <c r="G176" s="14"/>
      <c r="H176" s="6"/>
      <c r="I176" s="15"/>
      <c r="J176" s="6"/>
    </row>
    <row r="177" spans="1:12" ht="15" customHeight="1" x14ac:dyDescent="0.25">
      <c r="A177" s="344" t="s">
        <v>188</v>
      </c>
      <c r="B177" s="345"/>
      <c r="C177" s="345"/>
      <c r="D177" s="345"/>
      <c r="E177" s="345"/>
      <c r="F177" s="345"/>
      <c r="G177" s="345"/>
      <c r="H177" s="345"/>
      <c r="I177" s="345"/>
      <c r="J177" s="346"/>
    </row>
    <row r="178" spans="1:12" ht="15" customHeight="1" x14ac:dyDescent="0.25">
      <c r="A178" s="75" t="s">
        <v>16</v>
      </c>
      <c r="B178" s="374" t="str">
        <f>B170</f>
        <v>(1) Produtividade (1/M2)</v>
      </c>
      <c r="C178" s="375"/>
      <c r="D178" s="375"/>
      <c r="E178" s="376"/>
      <c r="F178" s="75" t="str">
        <f>F170</f>
        <v>(2) Frequencia no mês (HORAS***)</v>
      </c>
      <c r="G178" s="75" t="s">
        <v>23</v>
      </c>
      <c r="H178" s="75" t="s">
        <v>24</v>
      </c>
      <c r="I178" s="75" t="s">
        <v>25</v>
      </c>
      <c r="J178" s="75" t="s">
        <v>26</v>
      </c>
    </row>
    <row r="179" spans="1:12" ht="15" customHeight="1" x14ac:dyDescent="0.25">
      <c r="A179" s="109" t="str">
        <f>$A$96</f>
        <v>Servente Insalubre CIAC</v>
      </c>
      <c r="B179" s="141">
        <v>1</v>
      </c>
      <c r="C179" s="142">
        <v>0</v>
      </c>
      <c r="D179" s="143">
        <f t="shared" ref="D179:D182" si="20">$D$163</f>
        <v>380</v>
      </c>
      <c r="E179" s="144">
        <f>B179/D179</f>
        <v>2.631578947368421E-3</v>
      </c>
      <c r="F179" s="75">
        <v>8</v>
      </c>
      <c r="G179" s="141">
        <f t="shared" ref="G179:G180" si="21">1/1132.6</f>
        <v>8.8292424509977055E-4</v>
      </c>
      <c r="H179" s="145">
        <f>E179*F179*G179</f>
        <v>1.8587878844205695E-5</v>
      </c>
      <c r="I179" s="115">
        <f>'CIAC - COM INSALUBRIDADE'!$E$111</f>
        <v>7340.4621466871267</v>
      </c>
      <c r="J179" s="146">
        <f>I179*H179</f>
        <v>0.13644362104309837</v>
      </c>
    </row>
    <row r="180" spans="1:12" ht="15" customHeight="1" x14ac:dyDescent="0.25">
      <c r="A180" s="109" t="str">
        <f>$A$97</f>
        <v>Servente Insalubre interior</v>
      </c>
      <c r="B180" s="141">
        <v>1</v>
      </c>
      <c r="C180" s="142">
        <v>0</v>
      </c>
      <c r="D180" s="143">
        <f t="shared" si="20"/>
        <v>380</v>
      </c>
      <c r="E180" s="144">
        <f>B180/D180</f>
        <v>2.631578947368421E-3</v>
      </c>
      <c r="F180" s="75">
        <v>8</v>
      </c>
      <c r="G180" s="141">
        <f t="shared" si="21"/>
        <v>8.8292424509977055E-4</v>
      </c>
      <c r="H180" s="145">
        <f>E180*F180*G180</f>
        <v>1.8587878844205695E-5</v>
      </c>
      <c r="I180" s="115">
        <f>'GUAJARA - COM INSALUBRIDADE'!$E$111</f>
        <v>7488.9479369618039</v>
      </c>
      <c r="J180" s="146">
        <f>I180*H180</f>
        <v>0.1392036569228102</v>
      </c>
    </row>
    <row r="181" spans="1:12" ht="15" customHeight="1" x14ac:dyDescent="0.25">
      <c r="A181" s="111" t="str">
        <f>$A$98</f>
        <v>Servente PVH</v>
      </c>
      <c r="B181" s="141">
        <v>1</v>
      </c>
      <c r="C181" s="142">
        <v>0</v>
      </c>
      <c r="D181" s="143">
        <f t="shared" si="20"/>
        <v>380</v>
      </c>
      <c r="E181" s="144">
        <f>B181/D181</f>
        <v>2.631578947368421E-3</v>
      </c>
      <c r="F181" s="141">
        <v>8</v>
      </c>
      <c r="G181" s="141">
        <f t="shared" ref="G181:G182" si="22">1/1132.6</f>
        <v>8.8292424509977055E-4</v>
      </c>
      <c r="H181" s="145">
        <f>E181*F181*G181</f>
        <v>1.8587878844205695E-5</v>
      </c>
      <c r="I181" s="115">
        <f>'PVH - SEM INSALUBRIDADE'!$E$109</f>
        <v>5971.5699467291388</v>
      </c>
      <c r="J181" s="146">
        <f t="shared" ref="J181:J182" si="23">I181*H181</f>
        <v>0.11099881867950109</v>
      </c>
    </row>
    <row r="182" spans="1:12" ht="15" customHeight="1" x14ac:dyDescent="0.25">
      <c r="A182" s="111" t="str">
        <f>$A$99</f>
        <v>Servente Insalubre - Correios e Aerporto</v>
      </c>
      <c r="B182" s="141">
        <v>1</v>
      </c>
      <c r="C182" s="142">
        <v>0</v>
      </c>
      <c r="D182" s="143">
        <f t="shared" si="20"/>
        <v>380</v>
      </c>
      <c r="E182" s="144">
        <f>B182/D182</f>
        <v>2.631578947368421E-3</v>
      </c>
      <c r="F182" s="141">
        <v>8</v>
      </c>
      <c r="G182" s="141">
        <f t="shared" si="22"/>
        <v>8.8292424509977055E-4</v>
      </c>
      <c r="H182" s="145">
        <f>E182*F182*G182</f>
        <v>1.8587878844205695E-5</v>
      </c>
      <c r="I182" s="115">
        <f>'Correios e Aero - com INSAL.'!$E$111</f>
        <v>7427.7065769501469</v>
      </c>
      <c r="J182" s="146">
        <f t="shared" si="23"/>
        <v>0.13806530994265914</v>
      </c>
    </row>
    <row r="183" spans="1:12" ht="15" customHeight="1" x14ac:dyDescent="0.25">
      <c r="A183" s="132" t="s">
        <v>17</v>
      </c>
      <c r="B183" s="133"/>
      <c r="C183" s="133"/>
      <c r="D183" s="133"/>
      <c r="E183" s="133"/>
      <c r="F183" s="133"/>
      <c r="G183" s="133"/>
      <c r="H183" s="133"/>
      <c r="I183" s="134"/>
      <c r="J183" s="121">
        <f>SUM(J179:J182)</f>
        <v>0.52471140658806892</v>
      </c>
    </row>
    <row r="185" spans="1:12" ht="15" customHeight="1" x14ac:dyDescent="0.25">
      <c r="A185" s="332" t="str">
        <f>A3</f>
        <v>Unidade: CIAC - Centro Integrado de Atendimento ao Contribuinte</v>
      </c>
      <c r="B185" s="333"/>
      <c r="C185" s="333"/>
      <c r="D185" s="333"/>
      <c r="E185" s="333"/>
      <c r="F185" s="333"/>
      <c r="G185" s="333"/>
      <c r="H185" s="333"/>
      <c r="I185" s="334"/>
    </row>
    <row r="186" spans="1:12" ht="15" customHeight="1" x14ac:dyDescent="0.25">
      <c r="A186" s="335" t="s">
        <v>207</v>
      </c>
      <c r="B186" s="335"/>
      <c r="C186" s="335"/>
      <c r="D186" s="335" t="s">
        <v>208</v>
      </c>
      <c r="E186" s="335"/>
      <c r="F186" s="122" t="s">
        <v>218</v>
      </c>
      <c r="G186" s="123" t="s">
        <v>210</v>
      </c>
      <c r="H186" s="122" t="s">
        <v>211</v>
      </c>
      <c r="I186" s="122" t="s">
        <v>212</v>
      </c>
    </row>
    <row r="187" spans="1:12" ht="15" customHeight="1" x14ac:dyDescent="0.25">
      <c r="A187" s="315" t="str">
        <f>$B$6</f>
        <v>Interna: pisos frios (m²):</v>
      </c>
      <c r="B187" s="316"/>
      <c r="C187" s="317"/>
      <c r="D187" s="326">
        <f>$G$98</f>
        <v>4.9800000000000004</v>
      </c>
      <c r="E187" s="326"/>
      <c r="F187" s="125">
        <f>VLOOKUP(A187,$B$6:$D$18,3,FALSE)</f>
        <v>1386</v>
      </c>
      <c r="G187" s="126">
        <f>ROUND(D187*F187,2)</f>
        <v>6902.28</v>
      </c>
      <c r="H187" s="124">
        <f t="shared" ref="H187:H193" si="24">ROUND((G187*12),2)</f>
        <v>82827.360000000001</v>
      </c>
      <c r="I187" s="127">
        <f>F187/$D$96</f>
        <v>1.155</v>
      </c>
      <c r="J187" s="330"/>
      <c r="K187" s="331"/>
      <c r="L187" s="331"/>
    </row>
    <row r="188" spans="1:12" ht="15" customHeight="1" x14ac:dyDescent="0.25">
      <c r="A188" s="315" t="str">
        <f>$B$7</f>
        <v>Interna: piso amadeirado (m²):</v>
      </c>
      <c r="B188" s="316"/>
      <c r="C188" s="317"/>
      <c r="D188" s="326">
        <f>$G$106</f>
        <v>4.9800000000000004</v>
      </c>
      <c r="E188" s="326"/>
      <c r="F188" s="125">
        <f>D7</f>
        <v>85.17</v>
      </c>
      <c r="G188" s="126">
        <f t="shared" ref="G188:G197" si="25">ROUND(D188*F188,2)</f>
        <v>424.15</v>
      </c>
      <c r="H188" s="124">
        <f t="shared" si="24"/>
        <v>5089.8</v>
      </c>
      <c r="I188" s="127">
        <f>F188/$D$106</f>
        <v>7.0974999999999996E-2</v>
      </c>
    </row>
    <row r="189" spans="1:12" ht="15" customHeight="1" x14ac:dyDescent="0.25">
      <c r="A189" s="315" t="str">
        <f>$B$8</f>
        <v>Interna: banheiros (m²):</v>
      </c>
      <c r="B189" s="316"/>
      <c r="C189" s="317"/>
      <c r="D189" s="326"/>
      <c r="E189" s="326"/>
      <c r="F189" s="125"/>
      <c r="G189" s="126"/>
      <c r="H189" s="124"/>
      <c r="I189" s="127"/>
    </row>
    <row r="190" spans="1:12" ht="15" customHeight="1" x14ac:dyDescent="0.25">
      <c r="A190" s="315" t="str">
        <f>$B$9</f>
        <v>Interna: almoxarifados e galpões (m²):</v>
      </c>
      <c r="B190" s="316"/>
      <c r="C190" s="317"/>
      <c r="D190" s="326">
        <f>$G$122</f>
        <v>2.39</v>
      </c>
      <c r="E190" s="326"/>
      <c r="F190" s="125">
        <f>D9</f>
        <v>2678.01</v>
      </c>
      <c r="G190" s="126">
        <f t="shared" si="25"/>
        <v>6400.44</v>
      </c>
      <c r="H190" s="124">
        <f t="shared" si="24"/>
        <v>76805.279999999999</v>
      </c>
      <c r="I190" s="127">
        <f>F190/$D$120</f>
        <v>1.071204</v>
      </c>
    </row>
    <row r="191" spans="1:12" ht="15" customHeight="1" x14ac:dyDescent="0.25">
      <c r="A191" s="315" t="str">
        <f>$B$11</f>
        <v>Externa: pisos pavimentados contíguos às edificações (m²):</v>
      </c>
      <c r="B191" s="316"/>
      <c r="C191" s="317"/>
      <c r="D191" s="326">
        <f>$G$131</f>
        <v>2.21</v>
      </c>
      <c r="E191" s="326"/>
      <c r="F191" s="125">
        <f>D11</f>
        <v>220</v>
      </c>
      <c r="G191" s="126">
        <f t="shared" si="25"/>
        <v>486.2</v>
      </c>
      <c r="H191" s="124">
        <f t="shared" si="24"/>
        <v>5834.4</v>
      </c>
      <c r="I191" s="127">
        <f>F191/$D$129</f>
        <v>8.1481481481481488E-2</v>
      </c>
    </row>
    <row r="192" spans="1:12" ht="15" customHeight="1" x14ac:dyDescent="0.25">
      <c r="A192" s="315" t="str">
        <f>$B$12</f>
        <v>Externa: Passeios e Arruamentos (m²):</v>
      </c>
      <c r="B192" s="316"/>
      <c r="C192" s="317"/>
      <c r="D192" s="326">
        <f>$G$139</f>
        <v>0.66</v>
      </c>
      <c r="E192" s="326"/>
      <c r="F192" s="125">
        <f>D12</f>
        <v>800</v>
      </c>
      <c r="G192" s="126">
        <f t="shared" si="25"/>
        <v>528</v>
      </c>
      <c r="H192" s="124">
        <f t="shared" si="24"/>
        <v>6336</v>
      </c>
      <c r="I192" s="127">
        <f>F192/$D$137</f>
        <v>8.8888888888888892E-2</v>
      </c>
    </row>
    <row r="193" spans="1:9" ht="15" customHeight="1" x14ac:dyDescent="0.25">
      <c r="A193" s="315" t="str">
        <f>$B$13</f>
        <v>Externa: pátios e áreas verdes (m²):</v>
      </c>
      <c r="B193" s="316"/>
      <c r="C193" s="317"/>
      <c r="D193" s="326">
        <f>$G$147</f>
        <v>2.21</v>
      </c>
      <c r="E193" s="326"/>
      <c r="F193" s="125">
        <f>D13</f>
        <v>3815</v>
      </c>
      <c r="G193" s="126">
        <f t="shared" si="25"/>
        <v>8431.15</v>
      </c>
      <c r="H193" s="124">
        <f t="shared" si="24"/>
        <v>101173.8</v>
      </c>
      <c r="I193" s="127">
        <f>F193/$D$145</f>
        <v>1.412962962962963</v>
      </c>
    </row>
    <row r="194" spans="1:9" ht="15" customHeight="1" x14ac:dyDescent="0.25">
      <c r="A194" s="315" t="str">
        <f>$B$15</f>
        <v>Esquadrias: face externa com exposição à situação de risco (m²):</v>
      </c>
      <c r="B194" s="316"/>
      <c r="C194" s="317"/>
      <c r="D194" s="327">
        <f>$J$157</f>
        <v>0.26362219436381512</v>
      </c>
      <c r="E194" s="328"/>
      <c r="F194" s="125">
        <f>D15</f>
        <v>10.44</v>
      </c>
      <c r="G194" s="126">
        <f t="shared" si="25"/>
        <v>2.75</v>
      </c>
      <c r="H194" s="124">
        <f t="shared" ref="H194:H197" si="26">ROUND((G194*12),2)</f>
        <v>33</v>
      </c>
      <c r="I194" s="127">
        <f>F194/$D$155</f>
        <v>6.5250000000000002E-2</v>
      </c>
    </row>
    <row r="195" spans="1:9" ht="15" customHeight="1" x14ac:dyDescent="0.25">
      <c r="A195" s="315" t="str">
        <f>$B$16</f>
        <v xml:space="preserve">Esquadrias: face externa sem exposição à situação de risco (m²):                                </v>
      </c>
      <c r="B195" s="316"/>
      <c r="C195" s="317"/>
      <c r="D195" s="327">
        <f>$J$165</f>
        <v>0.11099881867950109</v>
      </c>
      <c r="E195" s="328"/>
      <c r="F195" s="125">
        <f>D16</f>
        <v>230.22</v>
      </c>
      <c r="G195" s="126">
        <f t="shared" si="25"/>
        <v>25.55</v>
      </c>
      <c r="H195" s="124">
        <f t="shared" si="26"/>
        <v>306.60000000000002</v>
      </c>
      <c r="I195" s="127">
        <f>F195/$D$163</f>
        <v>0.60584210526315785</v>
      </c>
    </row>
    <row r="196" spans="1:9" ht="15" customHeight="1" x14ac:dyDescent="0.25">
      <c r="A196" s="315" t="str">
        <f>$B$17</f>
        <v>Esquadrias: face interna sem exposição a situação de risco (m²):</v>
      </c>
      <c r="B196" s="316"/>
      <c r="C196" s="317"/>
      <c r="D196" s="327">
        <f>$J$173</f>
        <v>0.66601643375928654</v>
      </c>
      <c r="E196" s="328"/>
      <c r="F196" s="125">
        <f>D17</f>
        <v>0</v>
      </c>
      <c r="G196" s="126">
        <f t="shared" si="25"/>
        <v>0</v>
      </c>
      <c r="H196" s="124">
        <f t="shared" si="26"/>
        <v>0</v>
      </c>
      <c r="I196" s="127">
        <f>F196/$D$171</f>
        <v>0</v>
      </c>
    </row>
    <row r="197" spans="1:9" ht="15" customHeight="1" x14ac:dyDescent="0.25">
      <c r="A197" s="315" t="str">
        <f>$B$18</f>
        <v>Esquadrias: face interna (m²):</v>
      </c>
      <c r="B197" s="316"/>
      <c r="C197" s="317"/>
      <c r="D197" s="326">
        <f>$J$181</f>
        <v>0.11099881867950109</v>
      </c>
      <c r="E197" s="326"/>
      <c r="F197" s="125">
        <f>D18</f>
        <v>215.66</v>
      </c>
      <c r="G197" s="126">
        <f t="shared" si="25"/>
        <v>23.94</v>
      </c>
      <c r="H197" s="124">
        <f t="shared" si="26"/>
        <v>287.27999999999997</v>
      </c>
      <c r="I197" s="127">
        <f>F197/$D$181</f>
        <v>0.56752631578947366</v>
      </c>
    </row>
    <row r="198" spans="1:9" ht="15" customHeight="1" x14ac:dyDescent="0.25">
      <c r="A198" s="329" t="s">
        <v>213</v>
      </c>
      <c r="B198" s="329"/>
      <c r="C198" s="329"/>
      <c r="D198" s="329"/>
      <c r="E198" s="329"/>
      <c r="F198" s="128">
        <f>SUM(F187:F197)</f>
        <v>9440.5</v>
      </c>
      <c r="G198" s="129">
        <f>SUM(G187:G197)</f>
        <v>23224.46</v>
      </c>
      <c r="H198" s="130">
        <f>SUM(H187:H197)</f>
        <v>278693.52</v>
      </c>
      <c r="I198" s="131">
        <f>SUM(I187:I197)</f>
        <v>5.1191307543859645</v>
      </c>
    </row>
    <row r="199" spans="1:9" ht="15" customHeight="1" x14ac:dyDescent="0.25">
      <c r="A199" s="329" t="s">
        <v>214</v>
      </c>
      <c r="B199" s="329"/>
      <c r="C199" s="329"/>
      <c r="D199" s="329"/>
      <c r="E199" s="329"/>
      <c r="F199" s="128"/>
      <c r="G199" s="129">
        <f>G198</f>
        <v>23224.46</v>
      </c>
      <c r="H199" s="130">
        <f>H198</f>
        <v>278693.52</v>
      </c>
      <c r="I199" s="131">
        <v>6</v>
      </c>
    </row>
    <row r="200" spans="1:9" s="197" customFormat="1" ht="15" customHeight="1" x14ac:dyDescent="0.25">
      <c r="A200" s="191"/>
      <c r="B200" s="192"/>
      <c r="C200" s="192"/>
      <c r="D200" s="192"/>
      <c r="E200" s="192"/>
      <c r="F200" s="193"/>
      <c r="G200" s="194"/>
      <c r="H200" s="195"/>
      <c r="I200" s="196"/>
    </row>
    <row r="201" spans="1:9" ht="15" customHeight="1" x14ac:dyDescent="0.25">
      <c r="A201" s="332" t="s">
        <v>359</v>
      </c>
      <c r="B201" s="333"/>
      <c r="C201" s="333"/>
      <c r="D201" s="333"/>
      <c r="E201" s="333"/>
      <c r="F201" s="333"/>
      <c r="G201" s="333"/>
      <c r="H201" s="333"/>
      <c r="I201" s="334"/>
    </row>
    <row r="202" spans="1:9" ht="15" customHeight="1" x14ac:dyDescent="0.25">
      <c r="A202" s="335" t="s">
        <v>207</v>
      </c>
      <c r="B202" s="335"/>
      <c r="C202" s="335"/>
      <c r="D202" s="335" t="s">
        <v>208</v>
      </c>
      <c r="E202" s="335"/>
      <c r="F202" s="122" t="s">
        <v>218</v>
      </c>
      <c r="G202" s="123" t="s">
        <v>210</v>
      </c>
      <c r="H202" s="122" t="s">
        <v>211</v>
      </c>
      <c r="I202" s="122" t="s">
        <v>212</v>
      </c>
    </row>
    <row r="203" spans="1:9" ht="15" customHeight="1" x14ac:dyDescent="0.25">
      <c r="A203" s="315" t="str">
        <f>$B$6</f>
        <v>Interna: pisos frios (m²):</v>
      </c>
      <c r="B203" s="316"/>
      <c r="C203" s="317"/>
      <c r="D203" s="326"/>
      <c r="E203" s="326"/>
      <c r="F203" s="125"/>
      <c r="G203" s="126">
        <f>ROUND(D203*F203,2)</f>
        <v>0</v>
      </c>
      <c r="H203" s="124">
        <f t="shared" ref="H203:H213" si="27">ROUND((G203*12),2)</f>
        <v>0</v>
      </c>
      <c r="I203" s="127"/>
    </row>
    <row r="204" spans="1:9" ht="15" customHeight="1" x14ac:dyDescent="0.25">
      <c r="A204" s="315" t="str">
        <f>$B$7</f>
        <v>Interna: piso amadeirado (m²):</v>
      </c>
      <c r="B204" s="316"/>
      <c r="C204" s="317"/>
      <c r="D204" s="326"/>
      <c r="E204" s="326"/>
      <c r="F204" s="125"/>
      <c r="G204" s="126">
        <f t="shared" ref="G204:G213" si="28">ROUND(D204*F204,2)</f>
        <v>0</v>
      </c>
      <c r="H204" s="124">
        <f t="shared" si="27"/>
        <v>0</v>
      </c>
      <c r="I204" s="127"/>
    </row>
    <row r="205" spans="1:9" ht="15" customHeight="1" x14ac:dyDescent="0.25">
      <c r="A205" s="377" t="str">
        <f>$B$8</f>
        <v>Interna: banheiros (m²):</v>
      </c>
      <c r="B205" s="378"/>
      <c r="C205" s="379"/>
      <c r="D205" s="318">
        <f>G112</f>
        <v>24.47</v>
      </c>
      <c r="E205" s="318"/>
      <c r="F205" s="202">
        <f>VLOOKUP(A189,$B$6:$D$18,3,FALSE)</f>
        <v>65</v>
      </c>
      <c r="G205" s="200">
        <f t="shared" si="28"/>
        <v>1590.55</v>
      </c>
      <c r="H205" s="171">
        <f t="shared" si="27"/>
        <v>19086.599999999999</v>
      </c>
      <c r="I205" s="201">
        <f>F205/$D$112</f>
        <v>0.21666666666666667</v>
      </c>
    </row>
    <row r="206" spans="1:9" ht="15" customHeight="1" x14ac:dyDescent="0.25">
      <c r="A206" s="315" t="str">
        <f>$B$9</f>
        <v>Interna: almoxarifados e galpões (m²):</v>
      </c>
      <c r="B206" s="316"/>
      <c r="C206" s="317"/>
      <c r="D206" s="326"/>
      <c r="E206" s="326"/>
      <c r="F206" s="125"/>
      <c r="G206" s="126">
        <f t="shared" si="28"/>
        <v>0</v>
      </c>
      <c r="H206" s="124">
        <f t="shared" si="27"/>
        <v>0</v>
      </c>
      <c r="I206" s="127"/>
    </row>
    <row r="207" spans="1:9" ht="15" customHeight="1" x14ac:dyDescent="0.25">
      <c r="A207" s="315" t="str">
        <f>$B$11</f>
        <v>Externa: pisos pavimentados contíguos às edificações (m²):</v>
      </c>
      <c r="B207" s="316"/>
      <c r="C207" s="317"/>
      <c r="D207" s="326"/>
      <c r="E207" s="326"/>
      <c r="F207" s="125"/>
      <c r="G207" s="126">
        <f t="shared" si="28"/>
        <v>0</v>
      </c>
      <c r="H207" s="124">
        <f t="shared" si="27"/>
        <v>0</v>
      </c>
      <c r="I207" s="127"/>
    </row>
    <row r="208" spans="1:9" ht="15" customHeight="1" x14ac:dyDescent="0.25">
      <c r="A208" s="315" t="str">
        <f>$B$12</f>
        <v>Externa: Passeios e Arruamentos (m²):</v>
      </c>
      <c r="B208" s="316"/>
      <c r="C208" s="317"/>
      <c r="D208" s="326"/>
      <c r="E208" s="326"/>
      <c r="F208" s="125"/>
      <c r="G208" s="126">
        <f t="shared" si="28"/>
        <v>0</v>
      </c>
      <c r="H208" s="124">
        <f t="shared" si="27"/>
        <v>0</v>
      </c>
      <c r="I208" s="127"/>
    </row>
    <row r="209" spans="1:9" ht="15" customHeight="1" x14ac:dyDescent="0.25">
      <c r="A209" s="315" t="str">
        <f>$B$13</f>
        <v>Externa: pátios e áreas verdes (m²):</v>
      </c>
      <c r="B209" s="316"/>
      <c r="C209" s="317"/>
      <c r="D209" s="326"/>
      <c r="E209" s="326"/>
      <c r="F209" s="125"/>
      <c r="G209" s="126">
        <f t="shared" si="28"/>
        <v>0</v>
      </c>
      <c r="H209" s="124">
        <f t="shared" si="27"/>
        <v>0</v>
      </c>
      <c r="I209" s="127"/>
    </row>
    <row r="210" spans="1:9" ht="15" customHeight="1" x14ac:dyDescent="0.25">
      <c r="A210" s="315" t="str">
        <f>$B$15</f>
        <v>Esquadrias: face externa com exposição à situação de risco (m²):</v>
      </c>
      <c r="B210" s="316"/>
      <c r="C210" s="317"/>
      <c r="D210" s="327"/>
      <c r="E210" s="328"/>
      <c r="F210" s="125"/>
      <c r="G210" s="126">
        <f t="shared" si="28"/>
        <v>0</v>
      </c>
      <c r="H210" s="124">
        <f t="shared" si="27"/>
        <v>0</v>
      </c>
      <c r="I210" s="127"/>
    </row>
    <row r="211" spans="1:9" ht="15" customHeight="1" x14ac:dyDescent="0.25">
      <c r="A211" s="315" t="str">
        <f>$B$16</f>
        <v xml:space="preserve">Esquadrias: face externa sem exposição à situação de risco (m²):                                </v>
      </c>
      <c r="B211" s="316"/>
      <c r="C211" s="317"/>
      <c r="D211" s="327"/>
      <c r="E211" s="328"/>
      <c r="F211" s="125"/>
      <c r="G211" s="126">
        <f t="shared" si="28"/>
        <v>0</v>
      </c>
      <c r="H211" s="124">
        <f t="shared" si="27"/>
        <v>0</v>
      </c>
      <c r="I211" s="127"/>
    </row>
    <row r="212" spans="1:9" ht="15" customHeight="1" x14ac:dyDescent="0.25">
      <c r="A212" s="315" t="str">
        <f>$B$17</f>
        <v>Esquadrias: face interna sem exposição a situação de risco (m²):</v>
      </c>
      <c r="B212" s="316"/>
      <c r="C212" s="317"/>
      <c r="D212" s="327"/>
      <c r="E212" s="328"/>
      <c r="F212" s="125"/>
      <c r="G212" s="126">
        <f t="shared" si="28"/>
        <v>0</v>
      </c>
      <c r="H212" s="124">
        <f t="shared" si="27"/>
        <v>0</v>
      </c>
      <c r="I212" s="127"/>
    </row>
    <row r="213" spans="1:9" ht="15" customHeight="1" x14ac:dyDescent="0.25">
      <c r="A213" s="315" t="str">
        <f>$B$18</f>
        <v>Esquadrias: face interna (m²):</v>
      </c>
      <c r="B213" s="316"/>
      <c r="C213" s="317"/>
      <c r="D213" s="326"/>
      <c r="E213" s="326"/>
      <c r="F213" s="125"/>
      <c r="G213" s="126">
        <f t="shared" si="28"/>
        <v>0</v>
      </c>
      <c r="H213" s="124">
        <f t="shared" si="27"/>
        <v>0</v>
      </c>
      <c r="I213" s="127"/>
    </row>
    <row r="214" spans="1:9" ht="15" customHeight="1" x14ac:dyDescent="0.25">
      <c r="A214" s="329" t="s">
        <v>213</v>
      </c>
      <c r="B214" s="329"/>
      <c r="C214" s="329"/>
      <c r="D214" s="329"/>
      <c r="E214" s="329"/>
      <c r="F214" s="128">
        <f>SUM(F203:F213)</f>
        <v>65</v>
      </c>
      <c r="G214" s="129">
        <f>SUM(G203:G213)</f>
        <v>1590.55</v>
      </c>
      <c r="H214" s="130">
        <f>SUM(H203:H213)</f>
        <v>19086.599999999999</v>
      </c>
      <c r="I214" s="131">
        <f>SUM(I203:I213)</f>
        <v>0.21666666666666667</v>
      </c>
    </row>
    <row r="215" spans="1:9" ht="15" customHeight="1" x14ac:dyDescent="0.25">
      <c r="A215" s="329" t="s">
        <v>214</v>
      </c>
      <c r="B215" s="329"/>
      <c r="C215" s="329"/>
      <c r="D215" s="329"/>
      <c r="E215" s="329"/>
      <c r="F215" s="128"/>
      <c r="G215" s="129">
        <f>IF(G214&gt;'CIAC - COM INSALUBRIDADE'!$E$111,METRAGEM!G214,'CIAC - COM INSALUBRIDADE'!$E$111)</f>
        <v>7340.4621466871267</v>
      </c>
      <c r="H215" s="130">
        <f>G215*12</f>
        <v>88085.545760245528</v>
      </c>
      <c r="I215" s="131">
        <f>ROUNDUP(I214,0)</f>
        <v>1</v>
      </c>
    </row>
    <row r="217" spans="1:9" ht="15" customHeight="1" x14ac:dyDescent="0.25">
      <c r="A217" s="332" t="str">
        <f>A21</f>
        <v>Unidade: Posto Fiscal Aeroporto</v>
      </c>
      <c r="B217" s="333"/>
      <c r="C217" s="333"/>
      <c r="D217" s="333"/>
      <c r="E217" s="333"/>
      <c r="F217" s="333"/>
      <c r="G217" s="333"/>
      <c r="H217" s="333"/>
      <c r="I217" s="334"/>
    </row>
    <row r="218" spans="1:9" ht="15" customHeight="1" x14ac:dyDescent="0.25">
      <c r="A218" s="335" t="s">
        <v>207</v>
      </c>
      <c r="B218" s="335"/>
      <c r="C218" s="335"/>
      <c r="D218" s="335" t="s">
        <v>208</v>
      </c>
      <c r="E218" s="335"/>
      <c r="F218" s="122" t="s">
        <v>218</v>
      </c>
      <c r="G218" s="123" t="s">
        <v>210</v>
      </c>
      <c r="H218" s="122" t="s">
        <v>211</v>
      </c>
      <c r="I218" s="122" t="s">
        <v>212</v>
      </c>
    </row>
    <row r="219" spans="1:9" ht="15" customHeight="1" x14ac:dyDescent="0.25">
      <c r="A219" s="315" t="str">
        <f>$B$6</f>
        <v>Interna: pisos frios (m²):</v>
      </c>
      <c r="B219" s="316"/>
      <c r="C219" s="317"/>
      <c r="D219" s="326">
        <f>$G$99</f>
        <v>6.19</v>
      </c>
      <c r="E219" s="326"/>
      <c r="F219" s="125">
        <f>VLOOKUP(A219,$B$24:$E$36,3,FALSE)</f>
        <v>53.38</v>
      </c>
      <c r="G219" s="126">
        <f>ROUND(D219*F219,2)</f>
        <v>330.42</v>
      </c>
      <c r="H219" s="124">
        <f t="shared" ref="H219:H229" si="29">ROUND((G219*12),2)</f>
        <v>3965.04</v>
      </c>
      <c r="I219" s="127">
        <f>F219/$D$96</f>
        <v>4.4483333333333333E-2</v>
      </c>
    </row>
    <row r="220" spans="1:9" ht="15" customHeight="1" x14ac:dyDescent="0.25">
      <c r="A220" s="315" t="str">
        <f>$B$7</f>
        <v>Interna: piso amadeirado (m²):</v>
      </c>
      <c r="B220" s="316"/>
      <c r="C220" s="317"/>
      <c r="D220" s="326">
        <f>$G$107</f>
        <v>6.19</v>
      </c>
      <c r="E220" s="326"/>
      <c r="F220" s="125">
        <f t="shared" ref="F220:F229" si="30">VLOOKUP(A220,$B$24:$E$36,3,FALSE)</f>
        <v>0</v>
      </c>
      <c r="G220" s="126">
        <f t="shared" ref="G220:G229" si="31">ROUND(D220*F220,2)</f>
        <v>0</v>
      </c>
      <c r="H220" s="124">
        <f t="shared" si="29"/>
        <v>0</v>
      </c>
      <c r="I220" s="127">
        <f>F220/$D$106</f>
        <v>0</v>
      </c>
    </row>
    <row r="221" spans="1:9" ht="15" customHeight="1" x14ac:dyDescent="0.25">
      <c r="A221" s="315" t="str">
        <f>$B$8</f>
        <v>Interna: banheiros (m²):</v>
      </c>
      <c r="B221" s="316"/>
      <c r="C221" s="317"/>
      <c r="D221" s="326">
        <f>$G$115</f>
        <v>24.76</v>
      </c>
      <c r="E221" s="326"/>
      <c r="F221" s="125">
        <f t="shared" si="30"/>
        <v>2.25</v>
      </c>
      <c r="G221" s="126">
        <f t="shared" si="31"/>
        <v>55.71</v>
      </c>
      <c r="H221" s="124">
        <f t="shared" si="29"/>
        <v>668.52</v>
      </c>
      <c r="I221" s="127">
        <f>F221/$D$112</f>
        <v>7.4999999999999997E-3</v>
      </c>
    </row>
    <row r="222" spans="1:9" ht="15" customHeight="1" x14ac:dyDescent="0.25">
      <c r="A222" s="315" t="str">
        <f>$B$9</f>
        <v>Interna: almoxarifados e galpões (m²):</v>
      </c>
      <c r="B222" s="316"/>
      <c r="C222" s="317"/>
      <c r="D222" s="326">
        <f>$G$123</f>
        <v>2.97</v>
      </c>
      <c r="E222" s="326"/>
      <c r="F222" s="125">
        <f t="shared" si="30"/>
        <v>0</v>
      </c>
      <c r="G222" s="126">
        <f t="shared" si="31"/>
        <v>0</v>
      </c>
      <c r="H222" s="124">
        <f t="shared" si="29"/>
        <v>0</v>
      </c>
      <c r="I222" s="127">
        <f>F222/$D$120</f>
        <v>0</v>
      </c>
    </row>
    <row r="223" spans="1:9" ht="15" customHeight="1" x14ac:dyDescent="0.25">
      <c r="A223" s="315" t="str">
        <f>$B$11</f>
        <v>Externa: pisos pavimentados contíguos às edificações (m²):</v>
      </c>
      <c r="B223" s="316"/>
      <c r="C223" s="317"/>
      <c r="D223" s="326">
        <f>$G$132</f>
        <v>2.75</v>
      </c>
      <c r="E223" s="326"/>
      <c r="F223" s="125">
        <f t="shared" si="30"/>
        <v>24</v>
      </c>
      <c r="G223" s="126">
        <f t="shared" si="31"/>
        <v>66</v>
      </c>
      <c r="H223" s="124">
        <f t="shared" si="29"/>
        <v>792</v>
      </c>
      <c r="I223" s="127">
        <f>F223/$D$129</f>
        <v>8.8888888888888889E-3</v>
      </c>
    </row>
    <row r="224" spans="1:9" ht="15" customHeight="1" x14ac:dyDescent="0.25">
      <c r="A224" s="315" t="str">
        <f>$B$12</f>
        <v>Externa: Passeios e Arruamentos (m²):</v>
      </c>
      <c r="B224" s="316"/>
      <c r="C224" s="317"/>
      <c r="D224" s="326">
        <f>$G$140</f>
        <v>0.83</v>
      </c>
      <c r="E224" s="326"/>
      <c r="F224" s="125">
        <f t="shared" si="30"/>
        <v>0</v>
      </c>
      <c r="G224" s="126">
        <f t="shared" si="31"/>
        <v>0</v>
      </c>
      <c r="H224" s="124">
        <f t="shared" si="29"/>
        <v>0</v>
      </c>
      <c r="I224" s="127">
        <f>F224/$D$137</f>
        <v>0</v>
      </c>
    </row>
    <row r="225" spans="1:9" ht="15" customHeight="1" x14ac:dyDescent="0.25">
      <c r="A225" s="315" t="str">
        <f>$B$13</f>
        <v>Externa: pátios e áreas verdes (m²):</v>
      </c>
      <c r="B225" s="316"/>
      <c r="C225" s="317"/>
      <c r="D225" s="326">
        <f>$G$148</f>
        <v>2.75</v>
      </c>
      <c r="E225" s="326"/>
      <c r="F225" s="125">
        <f t="shared" si="30"/>
        <v>0</v>
      </c>
      <c r="G225" s="126">
        <f t="shared" si="31"/>
        <v>0</v>
      </c>
      <c r="H225" s="124">
        <f t="shared" si="29"/>
        <v>0</v>
      </c>
      <c r="I225" s="127">
        <f>F225/$D$145</f>
        <v>0</v>
      </c>
    </row>
    <row r="226" spans="1:9" ht="15" customHeight="1" x14ac:dyDescent="0.25">
      <c r="A226" s="315" t="str">
        <f>$B$15</f>
        <v>Esquadrias: face externa com exposição à situação de risco (m²):</v>
      </c>
      <c r="B226" s="316"/>
      <c r="C226" s="317"/>
      <c r="D226" s="327">
        <f>$J$158</f>
        <v>0.32790511111381548</v>
      </c>
      <c r="E226" s="328"/>
      <c r="F226" s="125">
        <f t="shared" si="30"/>
        <v>0</v>
      </c>
      <c r="G226" s="126">
        <f t="shared" si="31"/>
        <v>0</v>
      </c>
      <c r="H226" s="124">
        <f t="shared" si="29"/>
        <v>0</v>
      </c>
      <c r="I226" s="127">
        <f>F226/$D$155</f>
        <v>0</v>
      </c>
    </row>
    <row r="227" spans="1:9" ht="15" customHeight="1" x14ac:dyDescent="0.25">
      <c r="A227" s="315" t="str">
        <f>$B$16</f>
        <v xml:space="preserve">Esquadrias: face externa sem exposição à situação de risco (m²):                                </v>
      </c>
      <c r="B227" s="316"/>
      <c r="C227" s="317"/>
      <c r="D227" s="327">
        <f>$J$166</f>
        <v>0.13806530994265914</v>
      </c>
      <c r="E227" s="328"/>
      <c r="F227" s="125">
        <f t="shared" si="30"/>
        <v>7.5</v>
      </c>
      <c r="G227" s="126">
        <f t="shared" si="31"/>
        <v>1.04</v>
      </c>
      <c r="H227" s="124">
        <f t="shared" si="29"/>
        <v>12.48</v>
      </c>
      <c r="I227" s="127">
        <f>F227/$D$163</f>
        <v>1.9736842105263157E-2</v>
      </c>
    </row>
    <row r="228" spans="1:9" ht="15" customHeight="1" x14ac:dyDescent="0.25">
      <c r="A228" s="315" t="str">
        <f>$B$17</f>
        <v>Esquadrias: face interna sem exposição a situação de risco (m²):</v>
      </c>
      <c r="B228" s="316"/>
      <c r="C228" s="317"/>
      <c r="D228" s="327">
        <f>$J$174</f>
        <v>0.82842111697952814</v>
      </c>
      <c r="E228" s="328"/>
      <c r="F228" s="125">
        <f t="shared" si="30"/>
        <v>0</v>
      </c>
      <c r="G228" s="126">
        <f t="shared" si="31"/>
        <v>0</v>
      </c>
      <c r="H228" s="124">
        <f t="shared" si="29"/>
        <v>0</v>
      </c>
      <c r="I228" s="127">
        <f>F228/$D$171</f>
        <v>0</v>
      </c>
    </row>
    <row r="229" spans="1:9" ht="15" customHeight="1" x14ac:dyDescent="0.25">
      <c r="A229" s="315" t="str">
        <f>$B$18</f>
        <v>Esquadrias: face interna (m²):</v>
      </c>
      <c r="B229" s="316"/>
      <c r="C229" s="317"/>
      <c r="D229" s="326">
        <f>$J$182</f>
        <v>0.13806530994265914</v>
      </c>
      <c r="E229" s="326"/>
      <c r="F229" s="125">
        <f t="shared" si="30"/>
        <v>8</v>
      </c>
      <c r="G229" s="126">
        <f t="shared" si="31"/>
        <v>1.1000000000000001</v>
      </c>
      <c r="H229" s="124">
        <f t="shared" si="29"/>
        <v>13.2</v>
      </c>
      <c r="I229" s="127">
        <f>F229/$D$181</f>
        <v>2.1052631578947368E-2</v>
      </c>
    </row>
    <row r="230" spans="1:9" ht="15" customHeight="1" x14ac:dyDescent="0.25">
      <c r="A230" s="329" t="s">
        <v>213</v>
      </c>
      <c r="B230" s="329"/>
      <c r="C230" s="329"/>
      <c r="D230" s="329"/>
      <c r="E230" s="329"/>
      <c r="F230" s="128">
        <f>SUM(F219:F229)</f>
        <v>95.13</v>
      </c>
      <c r="G230" s="129">
        <f>SUM(G219:G229)</f>
        <v>454.27000000000004</v>
      </c>
      <c r="H230" s="130">
        <f>SUM(H219:H229)</f>
        <v>5451.2399999999989</v>
      </c>
      <c r="I230" s="131">
        <f>SUM(I219:I229)</f>
        <v>0.10166169590643274</v>
      </c>
    </row>
    <row r="231" spans="1:9" ht="15" customHeight="1" x14ac:dyDescent="0.25">
      <c r="A231" s="329" t="s">
        <v>214</v>
      </c>
      <c r="B231" s="329"/>
      <c r="C231" s="329"/>
      <c r="D231" s="329"/>
      <c r="E231" s="329"/>
      <c r="F231" s="128"/>
      <c r="G231" s="129">
        <f>IF(G230&gt;'Correios e Aero - com INSAL.'!$E$111,METRAGEM!G230,'Correios e Aero - com INSAL.'!$E$111)</f>
        <v>7427.7065769501469</v>
      </c>
      <c r="H231" s="130">
        <f>G231*12</f>
        <v>89132.478923401766</v>
      </c>
      <c r="I231" s="131">
        <f>I230</f>
        <v>0.10166169590643274</v>
      </c>
    </row>
    <row r="233" spans="1:9" ht="15" customHeight="1" x14ac:dyDescent="0.25">
      <c r="A233" s="332" t="str">
        <f>A39</f>
        <v>Unidade: Posto Fiscal Correios</v>
      </c>
      <c r="B233" s="333"/>
      <c r="C233" s="333"/>
      <c r="D233" s="333"/>
      <c r="E233" s="333"/>
      <c r="F233" s="333"/>
      <c r="G233" s="333"/>
      <c r="H233" s="333"/>
      <c r="I233" s="334"/>
    </row>
    <row r="234" spans="1:9" ht="15" customHeight="1" x14ac:dyDescent="0.25">
      <c r="A234" s="335" t="s">
        <v>207</v>
      </c>
      <c r="B234" s="335"/>
      <c r="C234" s="335"/>
      <c r="D234" s="335" t="s">
        <v>208</v>
      </c>
      <c r="E234" s="335"/>
      <c r="F234" s="122" t="s">
        <v>218</v>
      </c>
      <c r="G234" s="123" t="s">
        <v>210</v>
      </c>
      <c r="H234" s="122" t="s">
        <v>211</v>
      </c>
      <c r="I234" s="122" t="s">
        <v>212</v>
      </c>
    </row>
    <row r="235" spans="1:9" ht="15" customHeight="1" x14ac:dyDescent="0.25">
      <c r="A235" s="315" t="str">
        <f>$B$6</f>
        <v>Interna: pisos frios (m²):</v>
      </c>
      <c r="B235" s="316"/>
      <c r="C235" s="317"/>
      <c r="D235" s="326">
        <f>$G$99</f>
        <v>6.19</v>
      </c>
      <c r="E235" s="326"/>
      <c r="F235" s="125">
        <f>VLOOKUP(A235,$B$42:$E$54,3,FALSE)</f>
        <v>37</v>
      </c>
      <c r="G235" s="126">
        <f>ROUND(D235*F235,2)</f>
        <v>229.03</v>
      </c>
      <c r="H235" s="124">
        <f t="shared" ref="H235:H245" si="32">ROUND((G235*12),2)</f>
        <v>2748.36</v>
      </c>
      <c r="I235" s="127">
        <f>F235/$D$96</f>
        <v>3.0833333333333334E-2</v>
      </c>
    </row>
    <row r="236" spans="1:9" ht="15" customHeight="1" x14ac:dyDescent="0.25">
      <c r="A236" s="315" t="str">
        <f>$B$7</f>
        <v>Interna: piso amadeirado (m²):</v>
      </c>
      <c r="B236" s="316"/>
      <c r="C236" s="317"/>
      <c r="D236" s="326">
        <f>$G$107</f>
        <v>6.19</v>
      </c>
      <c r="E236" s="326"/>
      <c r="F236" s="125">
        <f t="shared" ref="F236:F245" si="33">VLOOKUP(A236,$B$42:$E$54,3,FALSE)</f>
        <v>0</v>
      </c>
      <c r="G236" s="126">
        <f t="shared" ref="G236:G245" si="34">ROUND(D236*F236,2)</f>
        <v>0</v>
      </c>
      <c r="H236" s="124">
        <f t="shared" si="32"/>
        <v>0</v>
      </c>
      <c r="I236" s="127">
        <f>F236/$D$106</f>
        <v>0</v>
      </c>
    </row>
    <row r="237" spans="1:9" ht="15" customHeight="1" x14ac:dyDescent="0.25">
      <c r="A237" s="315" t="str">
        <f>$B$8</f>
        <v>Interna: banheiros (m²):</v>
      </c>
      <c r="B237" s="316"/>
      <c r="C237" s="317"/>
      <c r="D237" s="326">
        <f>$G$115</f>
        <v>24.76</v>
      </c>
      <c r="E237" s="326"/>
      <c r="F237" s="125">
        <f t="shared" si="33"/>
        <v>12.46</v>
      </c>
      <c r="G237" s="126">
        <f t="shared" si="34"/>
        <v>308.51</v>
      </c>
      <c r="H237" s="124">
        <f t="shared" si="32"/>
        <v>3702.12</v>
      </c>
      <c r="I237" s="127">
        <f>F237/$D$112</f>
        <v>4.1533333333333339E-2</v>
      </c>
    </row>
    <row r="238" spans="1:9" ht="15" customHeight="1" x14ac:dyDescent="0.25">
      <c r="A238" s="315" t="str">
        <f>$B$9</f>
        <v>Interna: almoxarifados e galpões (m²):</v>
      </c>
      <c r="B238" s="316"/>
      <c r="C238" s="317"/>
      <c r="D238" s="326">
        <f>$G$123</f>
        <v>2.97</v>
      </c>
      <c r="E238" s="326"/>
      <c r="F238" s="125">
        <f t="shared" si="33"/>
        <v>68</v>
      </c>
      <c r="G238" s="126">
        <f t="shared" si="34"/>
        <v>201.96</v>
      </c>
      <c r="H238" s="124">
        <f t="shared" si="32"/>
        <v>2423.52</v>
      </c>
      <c r="I238" s="127">
        <f>F238/$D$120</f>
        <v>2.7199999999999998E-2</v>
      </c>
    </row>
    <row r="239" spans="1:9" ht="15" customHeight="1" x14ac:dyDescent="0.25">
      <c r="A239" s="315" t="str">
        <f>$B$11</f>
        <v>Externa: pisos pavimentados contíguos às edificações (m²):</v>
      </c>
      <c r="B239" s="316"/>
      <c r="C239" s="317"/>
      <c r="D239" s="326">
        <f>$G$132</f>
        <v>2.75</v>
      </c>
      <c r="E239" s="326"/>
      <c r="F239" s="125">
        <f t="shared" si="33"/>
        <v>6</v>
      </c>
      <c r="G239" s="126">
        <f t="shared" si="34"/>
        <v>16.5</v>
      </c>
      <c r="H239" s="124">
        <f t="shared" si="32"/>
        <v>198</v>
      </c>
      <c r="I239" s="127">
        <f>F239/$D$129</f>
        <v>2.2222222222222222E-3</v>
      </c>
    </row>
    <row r="240" spans="1:9" ht="15" customHeight="1" x14ac:dyDescent="0.25">
      <c r="A240" s="315" t="str">
        <f>$B$12</f>
        <v>Externa: Passeios e Arruamentos (m²):</v>
      </c>
      <c r="B240" s="316"/>
      <c r="C240" s="317"/>
      <c r="D240" s="326">
        <f>$G$140</f>
        <v>0.83</v>
      </c>
      <c r="E240" s="326"/>
      <c r="F240" s="125">
        <f t="shared" si="33"/>
        <v>2</v>
      </c>
      <c r="G240" s="126">
        <f t="shared" si="34"/>
        <v>1.66</v>
      </c>
      <c r="H240" s="124">
        <f t="shared" si="32"/>
        <v>19.920000000000002</v>
      </c>
      <c r="I240" s="127">
        <f>F240/$D$137</f>
        <v>2.2222222222222223E-4</v>
      </c>
    </row>
    <row r="241" spans="1:9" ht="15" customHeight="1" x14ac:dyDescent="0.25">
      <c r="A241" s="315" t="str">
        <f>$B$13</f>
        <v>Externa: pátios e áreas verdes (m²):</v>
      </c>
      <c r="B241" s="316"/>
      <c r="C241" s="317"/>
      <c r="D241" s="326">
        <f>$G$148</f>
        <v>2.75</v>
      </c>
      <c r="E241" s="326"/>
      <c r="F241" s="125">
        <f t="shared" si="33"/>
        <v>0</v>
      </c>
      <c r="G241" s="126">
        <f t="shared" si="34"/>
        <v>0</v>
      </c>
      <c r="H241" s="124">
        <f t="shared" si="32"/>
        <v>0</v>
      </c>
      <c r="I241" s="127">
        <f>F241/$D$145</f>
        <v>0</v>
      </c>
    </row>
    <row r="242" spans="1:9" ht="15" customHeight="1" x14ac:dyDescent="0.25">
      <c r="A242" s="315" t="str">
        <f>$B$15</f>
        <v>Esquadrias: face externa com exposição à situação de risco (m²):</v>
      </c>
      <c r="B242" s="316"/>
      <c r="C242" s="317"/>
      <c r="D242" s="327">
        <f>$J$158</f>
        <v>0.32790511111381548</v>
      </c>
      <c r="E242" s="328"/>
      <c r="F242" s="125">
        <f t="shared" si="33"/>
        <v>0</v>
      </c>
      <c r="G242" s="126">
        <f t="shared" si="34"/>
        <v>0</v>
      </c>
      <c r="H242" s="124">
        <f t="shared" si="32"/>
        <v>0</v>
      </c>
      <c r="I242" s="127">
        <f>F242/$D$155</f>
        <v>0</v>
      </c>
    </row>
    <row r="243" spans="1:9" ht="15" customHeight="1" x14ac:dyDescent="0.25">
      <c r="A243" s="315" t="str">
        <f>$B$16</f>
        <v xml:space="preserve">Esquadrias: face externa sem exposição à situação de risco (m²):                                </v>
      </c>
      <c r="B243" s="316"/>
      <c r="C243" s="317"/>
      <c r="D243" s="327">
        <f>$J$166</f>
        <v>0.13806530994265914</v>
      </c>
      <c r="E243" s="328"/>
      <c r="F243" s="125">
        <f t="shared" si="33"/>
        <v>3.2</v>
      </c>
      <c r="G243" s="126">
        <f t="shared" si="34"/>
        <v>0.44</v>
      </c>
      <c r="H243" s="124">
        <f t="shared" si="32"/>
        <v>5.28</v>
      </c>
      <c r="I243" s="127">
        <f>F243/$D$163</f>
        <v>8.4210526315789472E-3</v>
      </c>
    </row>
    <row r="244" spans="1:9" ht="15" customHeight="1" x14ac:dyDescent="0.25">
      <c r="A244" s="315" t="str">
        <f>$B$17</f>
        <v>Esquadrias: face interna sem exposição a situação de risco (m²):</v>
      </c>
      <c r="B244" s="316"/>
      <c r="C244" s="317"/>
      <c r="D244" s="327">
        <f>$J$174</f>
        <v>0.82842111697952814</v>
      </c>
      <c r="E244" s="328"/>
      <c r="F244" s="125">
        <f t="shared" si="33"/>
        <v>0</v>
      </c>
      <c r="G244" s="126">
        <f t="shared" si="34"/>
        <v>0</v>
      </c>
      <c r="H244" s="124">
        <f t="shared" si="32"/>
        <v>0</v>
      </c>
      <c r="I244" s="127">
        <f>F244/$D$171</f>
        <v>0</v>
      </c>
    </row>
    <row r="245" spans="1:9" ht="15" customHeight="1" x14ac:dyDescent="0.25">
      <c r="A245" s="315" t="str">
        <f>$B$18</f>
        <v>Esquadrias: face interna (m²):</v>
      </c>
      <c r="B245" s="316"/>
      <c r="C245" s="317"/>
      <c r="D245" s="326">
        <f>$J$182</f>
        <v>0.13806530994265914</v>
      </c>
      <c r="E245" s="326"/>
      <c r="F245" s="125">
        <f t="shared" si="33"/>
        <v>3.2</v>
      </c>
      <c r="G245" s="126">
        <f t="shared" si="34"/>
        <v>0.44</v>
      </c>
      <c r="H245" s="124">
        <f t="shared" si="32"/>
        <v>5.28</v>
      </c>
      <c r="I245" s="127">
        <f>F245/$D$181</f>
        <v>8.4210526315789472E-3</v>
      </c>
    </row>
    <row r="246" spans="1:9" ht="15" customHeight="1" x14ac:dyDescent="0.25">
      <c r="A246" s="329" t="s">
        <v>213</v>
      </c>
      <c r="B246" s="329"/>
      <c r="C246" s="329"/>
      <c r="D246" s="329"/>
      <c r="E246" s="329"/>
      <c r="F246" s="128">
        <f>SUM(F235:F245)</f>
        <v>131.85999999999999</v>
      </c>
      <c r="G246" s="129">
        <f>SUM(G235:G245)</f>
        <v>758.54000000000008</v>
      </c>
      <c r="H246" s="130">
        <f>SUM(H235:H245)</f>
        <v>9102.4800000000014</v>
      </c>
      <c r="I246" s="131">
        <f>SUM(I235:I245)</f>
        <v>0.11885321637426902</v>
      </c>
    </row>
    <row r="247" spans="1:9" ht="15" customHeight="1" x14ac:dyDescent="0.25">
      <c r="A247" s="329" t="s">
        <v>214</v>
      </c>
      <c r="B247" s="329"/>
      <c r="C247" s="329"/>
      <c r="D247" s="329"/>
      <c r="E247" s="329"/>
      <c r="F247" s="128"/>
      <c r="G247" s="129">
        <f>IF(G246&gt;'Correios e Aero - com INSAL.'!$E$111,METRAGEM!G246,'Correios e Aero - com INSAL.'!$E$111)</f>
        <v>7427.7065769501469</v>
      </c>
      <c r="H247" s="130">
        <f>G247*12</f>
        <v>89132.478923401766</v>
      </c>
      <c r="I247" s="131">
        <f>I246</f>
        <v>0.11885321637426902</v>
      </c>
    </row>
    <row r="249" spans="1:9" ht="15" customHeight="1" x14ac:dyDescent="0.25">
      <c r="A249" s="332" t="str">
        <f>A57</f>
        <v>Unidade: Agência de Rendas de Guajará Mirim</v>
      </c>
      <c r="B249" s="333"/>
      <c r="C249" s="333"/>
      <c r="D249" s="333"/>
      <c r="E249" s="333"/>
      <c r="F249" s="333"/>
      <c r="G249" s="333"/>
      <c r="H249" s="333"/>
      <c r="I249" s="334"/>
    </row>
    <row r="250" spans="1:9" ht="15" customHeight="1" x14ac:dyDescent="0.25">
      <c r="A250" s="335" t="s">
        <v>207</v>
      </c>
      <c r="B250" s="335"/>
      <c r="C250" s="335"/>
      <c r="D250" s="335" t="s">
        <v>208</v>
      </c>
      <c r="E250" s="335"/>
      <c r="F250" s="122" t="s">
        <v>218</v>
      </c>
      <c r="G250" s="123" t="s">
        <v>210</v>
      </c>
      <c r="H250" s="122" t="s">
        <v>211</v>
      </c>
      <c r="I250" s="122" t="s">
        <v>212</v>
      </c>
    </row>
    <row r="251" spans="1:9" ht="15" customHeight="1" x14ac:dyDescent="0.25">
      <c r="A251" s="315" t="str">
        <f>$B$6</f>
        <v>Interna: pisos frios (m²):</v>
      </c>
      <c r="B251" s="316"/>
      <c r="C251" s="317"/>
      <c r="D251" s="326">
        <f>$G$97</f>
        <v>6.24</v>
      </c>
      <c r="E251" s="326"/>
      <c r="F251" s="125">
        <f>VLOOKUP(A251,$B$60:$E$72,3,FALSE)</f>
        <v>135</v>
      </c>
      <c r="G251" s="126">
        <f>ROUND(D251*F251,2)</f>
        <v>842.4</v>
      </c>
      <c r="H251" s="124">
        <f t="shared" ref="H251:H261" si="35">ROUND((G251*12),2)</f>
        <v>10108.799999999999</v>
      </c>
      <c r="I251" s="127">
        <f>F251/$D$96</f>
        <v>0.1125</v>
      </c>
    </row>
    <row r="252" spans="1:9" ht="15" customHeight="1" x14ac:dyDescent="0.25">
      <c r="A252" s="315" t="str">
        <f>$B$7</f>
        <v>Interna: piso amadeirado (m²):</v>
      </c>
      <c r="B252" s="316"/>
      <c r="C252" s="317"/>
      <c r="D252" s="326">
        <f>$G$105</f>
        <v>6.24</v>
      </c>
      <c r="E252" s="326"/>
      <c r="F252" s="125">
        <f t="shared" ref="F252:F261" si="36">VLOOKUP(A252,$B$60:$E$72,3,FALSE)</f>
        <v>0</v>
      </c>
      <c r="G252" s="126">
        <f t="shared" ref="G252:G261" si="37">ROUND(D252*F252,2)</f>
        <v>0</v>
      </c>
      <c r="H252" s="124">
        <f t="shared" si="35"/>
        <v>0</v>
      </c>
      <c r="I252" s="127">
        <f>F252/$D$106</f>
        <v>0</v>
      </c>
    </row>
    <row r="253" spans="1:9" ht="15" customHeight="1" x14ac:dyDescent="0.25">
      <c r="A253" s="315" t="str">
        <f>$B$8</f>
        <v>Interna: banheiros (m²):</v>
      </c>
      <c r="B253" s="316"/>
      <c r="C253" s="317"/>
      <c r="D253" s="326">
        <f>$G$113</f>
        <v>24.96</v>
      </c>
      <c r="E253" s="326"/>
      <c r="F253" s="125">
        <f t="shared" si="36"/>
        <v>24.71</v>
      </c>
      <c r="G253" s="126">
        <f t="shared" si="37"/>
        <v>616.76</v>
      </c>
      <c r="H253" s="124">
        <f t="shared" si="35"/>
        <v>7401.12</v>
      </c>
      <c r="I253" s="127">
        <f>F253/$D$112</f>
        <v>8.2366666666666671E-2</v>
      </c>
    </row>
    <row r="254" spans="1:9" ht="15" customHeight="1" x14ac:dyDescent="0.25">
      <c r="A254" s="315" t="str">
        <f>$B$9</f>
        <v>Interna: almoxarifados e galpões (m²):</v>
      </c>
      <c r="B254" s="316"/>
      <c r="C254" s="317"/>
      <c r="D254" s="326">
        <f>$G$121</f>
        <v>3</v>
      </c>
      <c r="E254" s="326"/>
      <c r="F254" s="125">
        <f t="shared" si="36"/>
        <v>10.050000000000001</v>
      </c>
      <c r="G254" s="126">
        <f t="shared" si="37"/>
        <v>30.15</v>
      </c>
      <c r="H254" s="124">
        <f t="shared" si="35"/>
        <v>361.8</v>
      </c>
      <c r="I254" s="127">
        <f>F254/$D$120</f>
        <v>4.0200000000000001E-3</v>
      </c>
    </row>
    <row r="255" spans="1:9" ht="15" customHeight="1" x14ac:dyDescent="0.25">
      <c r="A255" s="315" t="str">
        <f>$B$11</f>
        <v>Externa: pisos pavimentados contíguos às edificações (m²):</v>
      </c>
      <c r="B255" s="316"/>
      <c r="C255" s="317"/>
      <c r="D255" s="326">
        <f>$G$130</f>
        <v>2.77</v>
      </c>
      <c r="E255" s="326"/>
      <c r="F255" s="125">
        <f t="shared" si="36"/>
        <v>132</v>
      </c>
      <c r="G255" s="126">
        <f t="shared" si="37"/>
        <v>365.64</v>
      </c>
      <c r="H255" s="124">
        <f t="shared" si="35"/>
        <v>4387.68</v>
      </c>
      <c r="I255" s="127">
        <f>F255/$D$129</f>
        <v>4.8888888888888891E-2</v>
      </c>
    </row>
    <row r="256" spans="1:9" ht="15" customHeight="1" x14ac:dyDescent="0.25">
      <c r="A256" s="315" t="str">
        <f>$B$12</f>
        <v>Externa: Passeios e Arruamentos (m²):</v>
      </c>
      <c r="B256" s="316"/>
      <c r="C256" s="317"/>
      <c r="D256" s="326">
        <f>$G$138</f>
        <v>0.83</v>
      </c>
      <c r="E256" s="326"/>
      <c r="F256" s="125">
        <f t="shared" si="36"/>
        <v>206</v>
      </c>
      <c r="G256" s="126">
        <f t="shared" si="37"/>
        <v>170.98</v>
      </c>
      <c r="H256" s="124">
        <f t="shared" si="35"/>
        <v>2051.7600000000002</v>
      </c>
      <c r="I256" s="127">
        <f>F256/$D$137</f>
        <v>2.2888888888888889E-2</v>
      </c>
    </row>
    <row r="257" spans="1:9" ht="15" customHeight="1" x14ac:dyDescent="0.25">
      <c r="A257" s="315" t="str">
        <f>$B$13</f>
        <v>Externa: pátios e áreas verdes (m²):</v>
      </c>
      <c r="B257" s="316"/>
      <c r="C257" s="317"/>
      <c r="D257" s="326">
        <f>$G$146</f>
        <v>2.77</v>
      </c>
      <c r="E257" s="326"/>
      <c r="F257" s="125">
        <f t="shared" si="36"/>
        <v>25</v>
      </c>
      <c r="G257" s="126">
        <f t="shared" si="37"/>
        <v>69.25</v>
      </c>
      <c r="H257" s="124">
        <f t="shared" si="35"/>
        <v>831</v>
      </c>
      <c r="I257" s="127">
        <f>F257/$D$145</f>
        <v>9.2592592592592587E-3</v>
      </c>
    </row>
    <row r="258" spans="1:9" ht="15" customHeight="1" x14ac:dyDescent="0.25">
      <c r="A258" s="315" t="str">
        <f>$B$15</f>
        <v>Esquadrias: face externa com exposição à situação de risco (m²):</v>
      </c>
      <c r="B258" s="316"/>
      <c r="C258" s="317"/>
      <c r="D258" s="327">
        <f>$J$156</f>
        <v>0.33060868519167425</v>
      </c>
      <c r="E258" s="328"/>
      <c r="F258" s="125">
        <f t="shared" si="36"/>
        <v>0</v>
      </c>
      <c r="G258" s="126">
        <f t="shared" si="37"/>
        <v>0</v>
      </c>
      <c r="H258" s="124">
        <f t="shared" si="35"/>
        <v>0</v>
      </c>
      <c r="I258" s="127">
        <f>F258/$D$155</f>
        <v>0</v>
      </c>
    </row>
    <row r="259" spans="1:9" ht="15" customHeight="1" x14ac:dyDescent="0.25">
      <c r="A259" s="315" t="str">
        <f>$B$16</f>
        <v xml:space="preserve">Esquadrias: face externa sem exposição à situação de risco (m²):                                </v>
      </c>
      <c r="B259" s="316"/>
      <c r="C259" s="317"/>
      <c r="D259" s="327">
        <f>$J$164</f>
        <v>0.1392036569228102</v>
      </c>
      <c r="E259" s="328"/>
      <c r="F259" s="125">
        <f t="shared" si="36"/>
        <v>0</v>
      </c>
      <c r="G259" s="126">
        <f t="shared" si="37"/>
        <v>0</v>
      </c>
      <c r="H259" s="124">
        <f t="shared" si="35"/>
        <v>0</v>
      </c>
      <c r="I259" s="127">
        <f>F259/$D$163</f>
        <v>0</v>
      </c>
    </row>
    <row r="260" spans="1:9" ht="15" customHeight="1" x14ac:dyDescent="0.25">
      <c r="A260" s="315" t="str">
        <f>$B$17</f>
        <v>Esquadrias: face interna sem exposição a situação de risco (m²):</v>
      </c>
      <c r="B260" s="316"/>
      <c r="C260" s="317"/>
      <c r="D260" s="327">
        <f>$J$172</f>
        <v>0.1392036569228102</v>
      </c>
      <c r="E260" s="328"/>
      <c r="F260" s="125">
        <f t="shared" si="36"/>
        <v>0</v>
      </c>
      <c r="G260" s="126">
        <f t="shared" si="37"/>
        <v>0</v>
      </c>
      <c r="H260" s="124">
        <f t="shared" si="35"/>
        <v>0</v>
      </c>
      <c r="I260" s="127">
        <f>F260/$D$171</f>
        <v>0</v>
      </c>
    </row>
    <row r="261" spans="1:9" ht="15" customHeight="1" x14ac:dyDescent="0.25">
      <c r="A261" s="315" t="str">
        <f>$B$18</f>
        <v>Esquadrias: face interna (m²):</v>
      </c>
      <c r="B261" s="316"/>
      <c r="C261" s="317"/>
      <c r="D261" s="326">
        <f>$J$180</f>
        <v>0.1392036569228102</v>
      </c>
      <c r="E261" s="326"/>
      <c r="F261" s="125">
        <f t="shared" si="36"/>
        <v>24.28</v>
      </c>
      <c r="G261" s="126">
        <f t="shared" si="37"/>
        <v>3.38</v>
      </c>
      <c r="H261" s="124">
        <f t="shared" si="35"/>
        <v>40.56</v>
      </c>
      <c r="I261" s="127">
        <f>F261/$D$181</f>
        <v>6.3894736842105268E-2</v>
      </c>
    </row>
    <row r="262" spans="1:9" ht="15" customHeight="1" x14ac:dyDescent="0.25">
      <c r="A262" s="329" t="s">
        <v>213</v>
      </c>
      <c r="B262" s="329"/>
      <c r="C262" s="329"/>
      <c r="D262" s="329"/>
      <c r="E262" s="329"/>
      <c r="F262" s="128">
        <f>SUM(F251:F261)</f>
        <v>557.04</v>
      </c>
      <c r="G262" s="129">
        <f>SUM(G251:G261)</f>
        <v>2098.56</v>
      </c>
      <c r="H262" s="130">
        <f>SUM(H251:H261)</f>
        <v>25182.719999999998</v>
      </c>
      <c r="I262" s="131">
        <f>SUM(I251:I261)</f>
        <v>0.34381844054580901</v>
      </c>
    </row>
    <row r="263" spans="1:9" ht="15" customHeight="1" x14ac:dyDescent="0.25">
      <c r="A263" s="329" t="s">
        <v>214</v>
      </c>
      <c r="B263" s="329"/>
      <c r="C263" s="329"/>
      <c r="D263" s="329"/>
      <c r="E263" s="329"/>
      <c r="F263" s="128"/>
      <c r="G263" s="129">
        <f>IF(G262&gt;'GUAJARA - COM INSALUBRIDADE'!$E$111,METRAGEM!G262,'GUAJARA - COM INSALUBRIDADE'!$E$111)</f>
        <v>7488.9479369618039</v>
      </c>
      <c r="H263" s="130">
        <f>G263*12</f>
        <v>89867.375243541639</v>
      </c>
      <c r="I263" s="131">
        <f>ROUNDUP(I262,0)</f>
        <v>1</v>
      </c>
    </row>
    <row r="265" spans="1:9" ht="15" customHeight="1" x14ac:dyDescent="0.25">
      <c r="A265" s="332" t="str">
        <f>A75</f>
        <v>Unidade: Posto Fiscal do IATA</v>
      </c>
      <c r="B265" s="333"/>
      <c r="C265" s="333"/>
      <c r="D265" s="333"/>
      <c r="E265" s="333"/>
      <c r="F265" s="333"/>
      <c r="G265" s="333"/>
      <c r="H265" s="333"/>
      <c r="I265" s="334"/>
    </row>
    <row r="266" spans="1:9" ht="15" customHeight="1" x14ac:dyDescent="0.25">
      <c r="A266" s="335" t="s">
        <v>207</v>
      </c>
      <c r="B266" s="335"/>
      <c r="C266" s="335"/>
      <c r="D266" s="335" t="s">
        <v>208</v>
      </c>
      <c r="E266" s="335"/>
      <c r="F266" s="122" t="s">
        <v>218</v>
      </c>
      <c r="G266" s="123" t="s">
        <v>210</v>
      </c>
      <c r="H266" s="122" t="s">
        <v>211</v>
      </c>
      <c r="I266" s="122" t="s">
        <v>212</v>
      </c>
    </row>
    <row r="267" spans="1:9" x14ac:dyDescent="0.25">
      <c r="A267" s="315" t="str">
        <f>$B$6</f>
        <v>Interna: pisos frios (m²):</v>
      </c>
      <c r="B267" s="316"/>
      <c r="C267" s="317"/>
      <c r="D267" s="326">
        <f>$G$97</f>
        <v>6.24</v>
      </c>
      <c r="E267" s="326"/>
      <c r="F267" s="125">
        <f>VLOOKUP(A267,$B$78:$E$90,3,FALSE)</f>
        <v>102.72</v>
      </c>
      <c r="G267" s="126">
        <f>ROUND(D267*F267,2)</f>
        <v>640.97</v>
      </c>
      <c r="H267" s="124">
        <f t="shared" ref="H267:H277" si="38">ROUND((G267*12),2)</f>
        <v>7691.64</v>
      </c>
      <c r="I267" s="127">
        <f>F267/$D$96</f>
        <v>8.5599999999999996E-2</v>
      </c>
    </row>
    <row r="268" spans="1:9" ht="15" customHeight="1" x14ac:dyDescent="0.25">
      <c r="A268" s="315" t="str">
        <f>$B$7</f>
        <v>Interna: piso amadeirado (m²):</v>
      </c>
      <c r="B268" s="316"/>
      <c r="C268" s="317"/>
      <c r="D268" s="326">
        <f>$G$105</f>
        <v>6.24</v>
      </c>
      <c r="E268" s="326"/>
      <c r="F268" s="125">
        <f t="shared" ref="F268:F277" si="39">VLOOKUP(A268,$B$78:$E$90,3,FALSE)</f>
        <v>0</v>
      </c>
      <c r="G268" s="126">
        <f t="shared" ref="G268:G277" si="40">ROUND(D268*F268,2)</f>
        <v>0</v>
      </c>
      <c r="H268" s="124">
        <f t="shared" si="38"/>
        <v>0</v>
      </c>
      <c r="I268" s="127">
        <f>F268/$D$106</f>
        <v>0</v>
      </c>
    </row>
    <row r="269" spans="1:9" ht="15" customHeight="1" x14ac:dyDescent="0.25">
      <c r="A269" s="315" t="str">
        <f>$B$8</f>
        <v>Interna: banheiros (m²):</v>
      </c>
      <c r="B269" s="316"/>
      <c r="C269" s="317"/>
      <c r="D269" s="326">
        <f>$G$113</f>
        <v>24.96</v>
      </c>
      <c r="E269" s="326"/>
      <c r="F269" s="125">
        <f t="shared" si="39"/>
        <v>5.12</v>
      </c>
      <c r="G269" s="126">
        <f t="shared" si="40"/>
        <v>127.8</v>
      </c>
      <c r="H269" s="124">
        <f t="shared" si="38"/>
        <v>1533.6</v>
      </c>
      <c r="I269" s="127">
        <f>F269/$D$112</f>
        <v>1.7066666666666667E-2</v>
      </c>
    </row>
    <row r="270" spans="1:9" ht="15" customHeight="1" x14ac:dyDescent="0.25">
      <c r="A270" s="315" t="str">
        <f>$B$9</f>
        <v>Interna: almoxarifados e galpões (m²):</v>
      </c>
      <c r="B270" s="316"/>
      <c r="C270" s="317"/>
      <c r="D270" s="326">
        <f>$G$121</f>
        <v>3</v>
      </c>
      <c r="E270" s="326"/>
      <c r="F270" s="125">
        <f t="shared" si="39"/>
        <v>26.06</v>
      </c>
      <c r="G270" s="126">
        <f t="shared" si="40"/>
        <v>78.180000000000007</v>
      </c>
      <c r="H270" s="124">
        <f t="shared" si="38"/>
        <v>938.16</v>
      </c>
      <c r="I270" s="127">
        <f>F270/$D$120</f>
        <v>1.0423999999999999E-2</v>
      </c>
    </row>
    <row r="271" spans="1:9" ht="15" customHeight="1" x14ac:dyDescent="0.25">
      <c r="A271" s="315" t="str">
        <f>$B$11</f>
        <v>Externa: pisos pavimentados contíguos às edificações (m²):</v>
      </c>
      <c r="B271" s="316"/>
      <c r="C271" s="317"/>
      <c r="D271" s="326">
        <f>$G$130</f>
        <v>2.77</v>
      </c>
      <c r="E271" s="326"/>
      <c r="F271" s="125">
        <f t="shared" si="39"/>
        <v>22.64</v>
      </c>
      <c r="G271" s="126">
        <f t="shared" si="40"/>
        <v>62.71</v>
      </c>
      <c r="H271" s="124">
        <f t="shared" si="38"/>
        <v>752.52</v>
      </c>
      <c r="I271" s="127">
        <f>F271/$D$129</f>
        <v>8.3851851851851848E-3</v>
      </c>
    </row>
    <row r="272" spans="1:9" ht="15" customHeight="1" x14ac:dyDescent="0.25">
      <c r="A272" s="315" t="str">
        <f>$B$12</f>
        <v>Externa: Passeios e Arruamentos (m²):</v>
      </c>
      <c r="B272" s="316"/>
      <c r="C272" s="317"/>
      <c r="D272" s="326">
        <f>$G$138</f>
        <v>0.83</v>
      </c>
      <c r="E272" s="326"/>
      <c r="F272" s="125">
        <f t="shared" si="39"/>
        <v>26.36</v>
      </c>
      <c r="G272" s="126">
        <f t="shared" si="40"/>
        <v>21.88</v>
      </c>
      <c r="H272" s="124">
        <f t="shared" si="38"/>
        <v>262.56</v>
      </c>
      <c r="I272" s="127">
        <f>F272/$D$137</f>
        <v>2.9288888888888889E-3</v>
      </c>
    </row>
    <row r="273" spans="1:10" ht="15" customHeight="1" x14ac:dyDescent="0.25">
      <c r="A273" s="315" t="str">
        <f>$B$13</f>
        <v>Externa: pátios e áreas verdes (m²):</v>
      </c>
      <c r="B273" s="316"/>
      <c r="C273" s="317"/>
      <c r="D273" s="326">
        <f>$G$146</f>
        <v>2.77</v>
      </c>
      <c r="E273" s="326"/>
      <c r="F273" s="125">
        <f t="shared" si="39"/>
        <v>808.27</v>
      </c>
      <c r="G273" s="126">
        <f t="shared" si="40"/>
        <v>2238.91</v>
      </c>
      <c r="H273" s="124">
        <f t="shared" si="38"/>
        <v>26866.92</v>
      </c>
      <c r="I273" s="127">
        <f>F273/$D$145</f>
        <v>0.29935925925925927</v>
      </c>
    </row>
    <row r="274" spans="1:10" ht="15" customHeight="1" x14ac:dyDescent="0.25">
      <c r="A274" s="315" t="str">
        <f>$B$15</f>
        <v>Esquadrias: face externa com exposição à situação de risco (m²):</v>
      </c>
      <c r="B274" s="316"/>
      <c r="C274" s="317"/>
      <c r="D274" s="327">
        <f>$J$156</f>
        <v>0.33060868519167425</v>
      </c>
      <c r="E274" s="328"/>
      <c r="F274" s="125">
        <f t="shared" si="39"/>
        <v>0</v>
      </c>
      <c r="G274" s="126">
        <f t="shared" si="40"/>
        <v>0</v>
      </c>
      <c r="H274" s="124">
        <f t="shared" si="38"/>
        <v>0</v>
      </c>
      <c r="I274" s="127">
        <f>F274/$D$155</f>
        <v>0</v>
      </c>
    </row>
    <row r="275" spans="1:10" ht="15" customHeight="1" x14ac:dyDescent="0.25">
      <c r="A275" s="315" t="str">
        <f>$B$16</f>
        <v xml:space="preserve">Esquadrias: face externa sem exposição à situação de risco (m²):                                </v>
      </c>
      <c r="B275" s="316"/>
      <c r="C275" s="317"/>
      <c r="D275" s="327">
        <f>$J$164</f>
        <v>0.1392036569228102</v>
      </c>
      <c r="E275" s="328"/>
      <c r="F275" s="125">
        <f t="shared" si="39"/>
        <v>6.2</v>
      </c>
      <c r="G275" s="126">
        <f t="shared" si="40"/>
        <v>0.86</v>
      </c>
      <c r="H275" s="124">
        <f t="shared" si="38"/>
        <v>10.32</v>
      </c>
      <c r="I275" s="127">
        <f>F275/$D$163</f>
        <v>1.6315789473684211E-2</v>
      </c>
    </row>
    <row r="276" spans="1:10" ht="15" customHeight="1" x14ac:dyDescent="0.25">
      <c r="A276" s="315" t="str">
        <f>$B$17</f>
        <v>Esquadrias: face interna sem exposição a situação de risco (m²):</v>
      </c>
      <c r="B276" s="316"/>
      <c r="C276" s="317"/>
      <c r="D276" s="327">
        <f>$J$172</f>
        <v>0.1392036569228102</v>
      </c>
      <c r="E276" s="328"/>
      <c r="F276" s="125">
        <f t="shared" si="39"/>
        <v>6.2</v>
      </c>
      <c r="G276" s="126">
        <f t="shared" si="40"/>
        <v>0.86</v>
      </c>
      <c r="H276" s="124">
        <f t="shared" si="38"/>
        <v>10.32</v>
      </c>
      <c r="I276" s="127">
        <f>F276/$D$171</f>
        <v>1.6315789473684211E-2</v>
      </c>
    </row>
    <row r="277" spans="1:10" ht="15" customHeight="1" x14ac:dyDescent="0.25">
      <c r="A277" s="315" t="str">
        <f>$B$18</f>
        <v>Esquadrias: face interna (m²):</v>
      </c>
      <c r="B277" s="316"/>
      <c r="C277" s="317"/>
      <c r="D277" s="326">
        <f>$J$180</f>
        <v>0.1392036569228102</v>
      </c>
      <c r="E277" s="326"/>
      <c r="F277" s="125">
        <f t="shared" si="39"/>
        <v>0</v>
      </c>
      <c r="G277" s="126">
        <f t="shared" si="40"/>
        <v>0</v>
      </c>
      <c r="H277" s="124">
        <f t="shared" si="38"/>
        <v>0</v>
      </c>
      <c r="I277" s="127">
        <f>F277/$D$181</f>
        <v>0</v>
      </c>
    </row>
    <row r="278" spans="1:10" ht="15" customHeight="1" x14ac:dyDescent="0.25">
      <c r="A278" s="329" t="s">
        <v>213</v>
      </c>
      <c r="B278" s="329"/>
      <c r="C278" s="329"/>
      <c r="D278" s="329"/>
      <c r="E278" s="329"/>
      <c r="F278" s="128">
        <f>SUM(F267:F277)</f>
        <v>1003.5700000000002</v>
      </c>
      <c r="G278" s="129">
        <f>SUM(G267:G277)</f>
        <v>3172.17</v>
      </c>
      <c r="H278" s="130">
        <f>SUM(H267:H277)</f>
        <v>38066.039999999994</v>
      </c>
      <c r="I278" s="131">
        <f>SUM(I267:I277)</f>
        <v>0.45639557894736849</v>
      </c>
    </row>
    <row r="279" spans="1:10" ht="15" customHeight="1" x14ac:dyDescent="0.25">
      <c r="A279" s="329" t="s">
        <v>214</v>
      </c>
      <c r="B279" s="329"/>
      <c r="C279" s="329"/>
      <c r="D279" s="329"/>
      <c r="E279" s="329"/>
      <c r="F279" s="128"/>
      <c r="G279" s="129">
        <f>IF(G278&gt;'GUAJARA - COM INSALUBRIDADE'!$E$111,METRAGEM!G278,'GUAJARA - COM INSALUBRIDADE'!$E$111)</f>
        <v>7488.9479369618039</v>
      </c>
      <c r="H279" s="130">
        <f>G279*12</f>
        <v>89867.375243541639</v>
      </c>
      <c r="I279" s="131">
        <f>ROUNDUP(I278,0)</f>
        <v>1</v>
      </c>
    </row>
    <row r="281" spans="1:10" ht="15" customHeight="1" x14ac:dyDescent="0.25">
      <c r="A281" s="320" t="s">
        <v>220</v>
      </c>
      <c r="B281" s="321"/>
      <c r="C281" s="321"/>
      <c r="D281" s="321"/>
      <c r="E281" s="321"/>
      <c r="F281" s="321"/>
      <c r="G281" s="321"/>
      <c r="H281" s="321"/>
      <c r="I281" s="322"/>
    </row>
    <row r="282" spans="1:10" ht="27.75" customHeight="1" x14ac:dyDescent="0.25">
      <c r="A282" s="323" t="s">
        <v>207</v>
      </c>
      <c r="B282" s="324"/>
      <c r="C282" s="325"/>
      <c r="D282" s="323" t="s">
        <v>208</v>
      </c>
      <c r="E282" s="325"/>
      <c r="F282" s="149" t="s">
        <v>209</v>
      </c>
      <c r="G282" s="148" t="s">
        <v>210</v>
      </c>
      <c r="H282" s="149" t="s">
        <v>211</v>
      </c>
      <c r="I282" s="149" t="s">
        <v>212</v>
      </c>
    </row>
    <row r="283" spans="1:10" ht="15" customHeight="1" x14ac:dyDescent="0.25">
      <c r="A283" s="315" t="str">
        <f>A3</f>
        <v>Unidade: CIAC - Centro Integrado de Atendimento ao Contribuinte</v>
      </c>
      <c r="B283" s="316"/>
      <c r="C283" s="317"/>
      <c r="D283" s="326">
        <f>$G$199/$F$198</f>
        <v>2.460087919072083</v>
      </c>
      <c r="E283" s="326"/>
      <c r="F283" s="147">
        <f>F198</f>
        <v>9440.5</v>
      </c>
      <c r="G283" s="126">
        <f>ROUND(D283*F283,2)</f>
        <v>23224.46</v>
      </c>
      <c r="H283" s="124">
        <f t="shared" ref="H283:H287" si="41">ROUND((G283*12),2)</f>
        <v>278693.52</v>
      </c>
      <c r="I283" s="127">
        <f>I199</f>
        <v>6</v>
      </c>
      <c r="J283" s="207"/>
    </row>
    <row r="284" spans="1:10" ht="15" customHeight="1" x14ac:dyDescent="0.25">
      <c r="A284" s="377" t="str">
        <f>A201</f>
        <v>Unidade: CIAC - Centro Integrado de Atendimento ao Contribuinte - INSALUBRE</v>
      </c>
      <c r="B284" s="378"/>
      <c r="C284" s="379"/>
      <c r="D284" s="380">
        <f>G215/F214</f>
        <v>112.93018687210964</v>
      </c>
      <c r="E284" s="381"/>
      <c r="F284" s="199">
        <f>F214</f>
        <v>65</v>
      </c>
      <c r="G284" s="200">
        <f>ROUND(D284*F284,2)</f>
        <v>7340.46</v>
      </c>
      <c r="H284" s="171">
        <f t="shared" si="41"/>
        <v>88085.52</v>
      </c>
      <c r="I284" s="201">
        <f>I215</f>
        <v>1</v>
      </c>
      <c r="J284" s="207"/>
    </row>
    <row r="285" spans="1:10" ht="15" customHeight="1" x14ac:dyDescent="0.25">
      <c r="A285" s="315" t="s">
        <v>369</v>
      </c>
      <c r="B285" s="316"/>
      <c r="C285" s="317"/>
      <c r="D285" s="326">
        <f>SUM($G$247/(F230+F246))</f>
        <v>32.722615872726323</v>
      </c>
      <c r="E285" s="326"/>
      <c r="F285" s="147">
        <f>SUM(F230+F246)</f>
        <v>226.98999999999998</v>
      </c>
      <c r="G285" s="126">
        <f t="shared" ref="G285:G287" si="42">ROUND(D285*F285,2)</f>
        <v>7427.71</v>
      </c>
      <c r="H285" s="124">
        <f t="shared" si="41"/>
        <v>89132.52</v>
      </c>
      <c r="I285" s="127">
        <f>ROUNDUP(SUM(I231+I247),0)</f>
        <v>1</v>
      </c>
      <c r="J285" s="207"/>
    </row>
    <row r="286" spans="1:10" ht="15" customHeight="1" x14ac:dyDescent="0.25">
      <c r="A286" s="315" t="str">
        <f>A57</f>
        <v>Unidade: Agência de Rendas de Guajará Mirim</v>
      </c>
      <c r="B286" s="316"/>
      <c r="C286" s="317"/>
      <c r="D286" s="318">
        <f>$G$263/$F$262</f>
        <v>13.444183428410534</v>
      </c>
      <c r="E286" s="318"/>
      <c r="F286" s="147">
        <f>F262</f>
        <v>557.04</v>
      </c>
      <c r="G286" s="126">
        <f t="shared" si="42"/>
        <v>7488.95</v>
      </c>
      <c r="H286" s="124">
        <f t="shared" si="41"/>
        <v>89867.4</v>
      </c>
      <c r="I286" s="127">
        <f>I263</f>
        <v>1</v>
      </c>
      <c r="J286" s="207"/>
    </row>
    <row r="287" spans="1:10" ht="15" customHeight="1" x14ac:dyDescent="0.25">
      <c r="A287" s="315" t="str">
        <f>A75</f>
        <v>Unidade: Posto Fiscal do IATA</v>
      </c>
      <c r="B287" s="316"/>
      <c r="C287" s="317"/>
      <c r="D287" s="318">
        <f>$G$279/$F$278</f>
        <v>7.4623074991896958</v>
      </c>
      <c r="E287" s="318"/>
      <c r="F287" s="147">
        <f>F278</f>
        <v>1003.5700000000002</v>
      </c>
      <c r="G287" s="126">
        <f t="shared" si="42"/>
        <v>7488.95</v>
      </c>
      <c r="H287" s="124">
        <f t="shared" si="41"/>
        <v>89867.4</v>
      </c>
      <c r="I287" s="127">
        <f>I279</f>
        <v>1</v>
      </c>
      <c r="J287" s="207"/>
    </row>
    <row r="288" spans="1:10" ht="15" customHeight="1" x14ac:dyDescent="0.25">
      <c r="A288" s="319" t="s">
        <v>146</v>
      </c>
      <c r="B288" s="319"/>
      <c r="C288" s="319"/>
      <c r="D288" s="319"/>
      <c r="E288" s="319"/>
      <c r="F288" s="150">
        <f>SUM(F283:F287)</f>
        <v>11293.099999999999</v>
      </c>
      <c r="G288" s="151">
        <f>SUM(G283:G287)</f>
        <v>52970.529999999992</v>
      </c>
      <c r="H288" s="152">
        <f>SUM(H283:H287)</f>
        <v>635646.3600000001</v>
      </c>
      <c r="I288" s="153">
        <f>SUM(I283:I287)</f>
        <v>10</v>
      </c>
    </row>
    <row r="289" spans="1:5" ht="15" customHeight="1" x14ac:dyDescent="0.25">
      <c r="E289" s="207"/>
    </row>
    <row r="290" spans="1:5" ht="15" customHeight="1" x14ac:dyDescent="0.25">
      <c r="A290" s="109" t="str">
        <f>$A$96</f>
        <v>Servente Insalubre CIAC</v>
      </c>
      <c r="B290" s="213" t="s">
        <v>345</v>
      </c>
    </row>
    <row r="291" spans="1:5" ht="15" customHeight="1" x14ac:dyDescent="0.25">
      <c r="A291" s="109" t="str">
        <f>$A$97</f>
        <v>Servente Insalubre interior</v>
      </c>
      <c r="B291" s="213" t="s">
        <v>346</v>
      </c>
    </row>
    <row r="292" spans="1:5" ht="15" customHeight="1" x14ac:dyDescent="0.25">
      <c r="A292" s="111" t="str">
        <f>$A$98</f>
        <v>Servente PVH</v>
      </c>
      <c r="B292" s="172" t="s">
        <v>345</v>
      </c>
    </row>
    <row r="293" spans="1:5" ht="15" customHeight="1" x14ac:dyDescent="0.25">
      <c r="A293" s="111" t="str">
        <f>A99</f>
        <v>Servente Insalubre - Correios e Aerporto</v>
      </c>
      <c r="B293" s="213" t="s">
        <v>374</v>
      </c>
    </row>
  </sheetData>
  <mergeCells count="243">
    <mergeCell ref="A211:C211"/>
    <mergeCell ref="D211:E211"/>
    <mergeCell ref="A212:C212"/>
    <mergeCell ref="D212:E212"/>
    <mergeCell ref="A213:C213"/>
    <mergeCell ref="D213:E213"/>
    <mergeCell ref="A214:E214"/>
    <mergeCell ref="A215:E215"/>
    <mergeCell ref="A284:C284"/>
    <mergeCell ref="D284:E284"/>
    <mergeCell ref="A219:C219"/>
    <mergeCell ref="D219:E219"/>
    <mergeCell ref="A220:C220"/>
    <mergeCell ref="D220:E220"/>
    <mergeCell ref="A221:C221"/>
    <mergeCell ref="D221:E221"/>
    <mergeCell ref="A227:C227"/>
    <mergeCell ref="D227:E227"/>
    <mergeCell ref="A228:C228"/>
    <mergeCell ref="D228:E228"/>
    <mergeCell ref="A229:C229"/>
    <mergeCell ref="D229:E229"/>
    <mergeCell ref="A230:E230"/>
    <mergeCell ref="A231:E231"/>
    <mergeCell ref="A206:C206"/>
    <mergeCell ref="D206:E206"/>
    <mergeCell ref="A207:C207"/>
    <mergeCell ref="D207:E207"/>
    <mergeCell ref="A208:C208"/>
    <mergeCell ref="D208:E208"/>
    <mergeCell ref="A209:C209"/>
    <mergeCell ref="D209:E209"/>
    <mergeCell ref="A210:C210"/>
    <mergeCell ref="D210:E210"/>
    <mergeCell ref="A201:I201"/>
    <mergeCell ref="A202:C202"/>
    <mergeCell ref="D202:E202"/>
    <mergeCell ref="A203:C203"/>
    <mergeCell ref="D203:E203"/>
    <mergeCell ref="A204:C204"/>
    <mergeCell ref="D204:E204"/>
    <mergeCell ref="A205:C205"/>
    <mergeCell ref="D205:E205"/>
    <mergeCell ref="A185:I185"/>
    <mergeCell ref="A177:J177"/>
    <mergeCell ref="A198:E198"/>
    <mergeCell ref="A199:E199"/>
    <mergeCell ref="A194:C194"/>
    <mergeCell ref="A195:C195"/>
    <mergeCell ref="A196:C196"/>
    <mergeCell ref="D194:E194"/>
    <mergeCell ref="D195:E195"/>
    <mergeCell ref="D196:E196"/>
    <mergeCell ref="A193:C193"/>
    <mergeCell ref="D193:E193"/>
    <mergeCell ref="A126:G126"/>
    <mergeCell ref="A127:G127"/>
    <mergeCell ref="A188:C188"/>
    <mergeCell ref="D188:E188"/>
    <mergeCell ref="A189:C189"/>
    <mergeCell ref="D189:E189"/>
    <mergeCell ref="A190:C190"/>
    <mergeCell ref="D190:E190"/>
    <mergeCell ref="A197:C197"/>
    <mergeCell ref="D197:E197"/>
    <mergeCell ref="A152:J152"/>
    <mergeCell ref="A186:C186"/>
    <mergeCell ref="D186:E186"/>
    <mergeCell ref="A187:C187"/>
    <mergeCell ref="D187:E187"/>
    <mergeCell ref="A191:C191"/>
    <mergeCell ref="D191:E191"/>
    <mergeCell ref="A192:C192"/>
    <mergeCell ref="D192:E192"/>
    <mergeCell ref="B178:E178"/>
    <mergeCell ref="A153:J153"/>
    <mergeCell ref="B154:E154"/>
    <mergeCell ref="B170:E170"/>
    <mergeCell ref="B162:E162"/>
    <mergeCell ref="F8:H8"/>
    <mergeCell ref="F12:G12"/>
    <mergeCell ref="A1:E1"/>
    <mergeCell ref="A3:E3"/>
    <mergeCell ref="A93:G93"/>
    <mergeCell ref="A94:G94"/>
    <mergeCell ref="A37:C37"/>
    <mergeCell ref="A6:A18"/>
    <mergeCell ref="A24:A36"/>
    <mergeCell ref="A42:A54"/>
    <mergeCell ref="A55:C55"/>
    <mergeCell ref="A2:E2"/>
    <mergeCell ref="A19:C19"/>
    <mergeCell ref="A91:C91"/>
    <mergeCell ref="A73:C73"/>
    <mergeCell ref="A60:A72"/>
    <mergeCell ref="A78:A90"/>
    <mergeCell ref="B77:E77"/>
    <mergeCell ref="B82:E82"/>
    <mergeCell ref="B86:E86"/>
    <mergeCell ref="A217:I217"/>
    <mergeCell ref="A218:C218"/>
    <mergeCell ref="D218:E218"/>
    <mergeCell ref="B128:E128"/>
    <mergeCell ref="A169:J169"/>
    <mergeCell ref="A161:J161"/>
    <mergeCell ref="B95:E95"/>
    <mergeCell ref="A100:F100"/>
    <mergeCell ref="A116:F116"/>
    <mergeCell ref="A102:G102"/>
    <mergeCell ref="B103:E103"/>
    <mergeCell ref="A108:F108"/>
    <mergeCell ref="A149:F149"/>
    <mergeCell ref="A110:G110"/>
    <mergeCell ref="B111:E111"/>
    <mergeCell ref="A118:G118"/>
    <mergeCell ref="B119:E119"/>
    <mergeCell ref="A124:F124"/>
    <mergeCell ref="A141:F141"/>
    <mergeCell ref="A143:G143"/>
    <mergeCell ref="B144:E144"/>
    <mergeCell ref="A133:F133"/>
    <mergeCell ref="A135:G135"/>
    <mergeCell ref="B136:E136"/>
    <mergeCell ref="A222:C222"/>
    <mergeCell ref="D222:E222"/>
    <mergeCell ref="A223:C223"/>
    <mergeCell ref="D223:E223"/>
    <mergeCell ref="A224:C224"/>
    <mergeCell ref="D224:E224"/>
    <mergeCell ref="A225:C225"/>
    <mergeCell ref="D225:E225"/>
    <mergeCell ref="A226:C226"/>
    <mergeCell ref="D226:E226"/>
    <mergeCell ref="A240:C240"/>
    <mergeCell ref="D240:E240"/>
    <mergeCell ref="A241:C241"/>
    <mergeCell ref="D241:E241"/>
    <mergeCell ref="A242:C242"/>
    <mergeCell ref="D242:E242"/>
    <mergeCell ref="A243:C243"/>
    <mergeCell ref="D243:E243"/>
    <mergeCell ref="A234:C234"/>
    <mergeCell ref="D234:E234"/>
    <mergeCell ref="A235:C235"/>
    <mergeCell ref="D235:E235"/>
    <mergeCell ref="A236:C236"/>
    <mergeCell ref="D236:E236"/>
    <mergeCell ref="A237:C237"/>
    <mergeCell ref="D237:E237"/>
    <mergeCell ref="A238:C238"/>
    <mergeCell ref="D238:E238"/>
    <mergeCell ref="A244:C244"/>
    <mergeCell ref="D244:E244"/>
    <mergeCell ref="A245:C245"/>
    <mergeCell ref="D245:E245"/>
    <mergeCell ref="A246:E246"/>
    <mergeCell ref="A247:E247"/>
    <mergeCell ref="B10:E10"/>
    <mergeCell ref="B14:E14"/>
    <mergeCell ref="B5:E5"/>
    <mergeCell ref="A21:E21"/>
    <mergeCell ref="B23:E23"/>
    <mergeCell ref="B28:E28"/>
    <mergeCell ref="B32:E32"/>
    <mergeCell ref="A39:E39"/>
    <mergeCell ref="B41:E41"/>
    <mergeCell ref="B46:E46"/>
    <mergeCell ref="B50:E50"/>
    <mergeCell ref="A57:E57"/>
    <mergeCell ref="B59:E59"/>
    <mergeCell ref="B64:E64"/>
    <mergeCell ref="B68:E68"/>
    <mergeCell ref="A75:E75"/>
    <mergeCell ref="A239:C239"/>
    <mergeCell ref="D239:E239"/>
    <mergeCell ref="A249:I249"/>
    <mergeCell ref="A250:C250"/>
    <mergeCell ref="D250:E250"/>
    <mergeCell ref="A251:C251"/>
    <mergeCell ref="D251:E251"/>
    <mergeCell ref="A252:C252"/>
    <mergeCell ref="D252:E252"/>
    <mergeCell ref="A253:C253"/>
    <mergeCell ref="D253:E253"/>
    <mergeCell ref="A254:C254"/>
    <mergeCell ref="D254:E254"/>
    <mergeCell ref="A255:C255"/>
    <mergeCell ref="D255:E255"/>
    <mergeCell ref="A256:C256"/>
    <mergeCell ref="D256:E256"/>
    <mergeCell ref="A257:C257"/>
    <mergeCell ref="D257:E257"/>
    <mergeCell ref="A258:C258"/>
    <mergeCell ref="D258:E258"/>
    <mergeCell ref="D268:E268"/>
    <mergeCell ref="A269:C269"/>
    <mergeCell ref="D269:E269"/>
    <mergeCell ref="A270:C270"/>
    <mergeCell ref="D270:E270"/>
    <mergeCell ref="A259:C259"/>
    <mergeCell ref="D259:E259"/>
    <mergeCell ref="A260:C260"/>
    <mergeCell ref="D260:E260"/>
    <mergeCell ref="A261:C261"/>
    <mergeCell ref="D261:E261"/>
    <mergeCell ref="A262:E262"/>
    <mergeCell ref="A263:E263"/>
    <mergeCell ref="A276:C276"/>
    <mergeCell ref="D276:E276"/>
    <mergeCell ref="A277:C277"/>
    <mergeCell ref="D277:E277"/>
    <mergeCell ref="A278:E278"/>
    <mergeCell ref="A279:E279"/>
    <mergeCell ref="J187:L187"/>
    <mergeCell ref="A265:I265"/>
    <mergeCell ref="A233:I233"/>
    <mergeCell ref="A271:C271"/>
    <mergeCell ref="D271:E271"/>
    <mergeCell ref="A272:C272"/>
    <mergeCell ref="D272:E272"/>
    <mergeCell ref="A273:C273"/>
    <mergeCell ref="D273:E273"/>
    <mergeCell ref="A274:C274"/>
    <mergeCell ref="D274:E274"/>
    <mergeCell ref="A275:C275"/>
    <mergeCell ref="D275:E275"/>
    <mergeCell ref="A266:C266"/>
    <mergeCell ref="D266:E266"/>
    <mergeCell ref="A267:C267"/>
    <mergeCell ref="D267:E267"/>
    <mergeCell ref="A268:C268"/>
    <mergeCell ref="A286:C286"/>
    <mergeCell ref="D286:E286"/>
    <mergeCell ref="A287:C287"/>
    <mergeCell ref="D287:E287"/>
    <mergeCell ref="A288:E288"/>
    <mergeCell ref="A281:I281"/>
    <mergeCell ref="A282:C282"/>
    <mergeCell ref="D282:E282"/>
    <mergeCell ref="A283:C283"/>
    <mergeCell ref="D283:E283"/>
    <mergeCell ref="A285:C285"/>
    <mergeCell ref="D285:E285"/>
  </mergeCells>
  <pageMargins left="0.511811024" right="0.511811024" top="0.78740157499999996" bottom="0.78740157499999996" header="0.31496062000000002" footer="0.31496062000000002"/>
  <pageSetup paperSize="9" scale="30" fitToHeight="0" orientation="portrait" r:id="rId1"/>
  <rowBreaks count="2" manualBreakCount="2">
    <brk id="92" max="9" man="1"/>
    <brk id="184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D6119-6477-4F1B-86BD-A8EE63436858}">
  <sheetPr>
    <pageSetUpPr fitToPage="1"/>
  </sheetPr>
  <dimension ref="A1:K152"/>
  <sheetViews>
    <sheetView showGridLines="0" view="pageBreakPreview" topLeftCell="A105" zoomScale="70" zoomScaleNormal="80" zoomScaleSheetLayoutView="70" workbookViewId="0">
      <selection activeCell="I8" sqref="I8"/>
    </sheetView>
  </sheetViews>
  <sheetFormatPr defaultRowHeight="15" x14ac:dyDescent="0.25"/>
  <cols>
    <col min="1" max="1" width="61" bestFit="1" customWidth="1"/>
    <col min="2" max="2" width="12.7109375" customWidth="1"/>
    <col min="3" max="6" width="10.7109375" customWidth="1"/>
    <col min="7" max="7" width="11.5703125" customWidth="1"/>
    <col min="8" max="8" width="14" style="154" customWidth="1"/>
    <col min="9" max="9" width="10.7109375" customWidth="1"/>
    <col min="10" max="10" width="15.42578125" style="154" customWidth="1"/>
    <col min="11" max="11" width="11.85546875" customWidth="1"/>
  </cols>
  <sheetData>
    <row r="1" spans="1:10" ht="18.75" x14ac:dyDescent="0.25">
      <c r="A1" s="405" t="s">
        <v>221</v>
      </c>
      <c r="B1" s="405"/>
      <c r="C1" s="405"/>
      <c r="D1" s="405"/>
      <c r="E1" s="405"/>
      <c r="F1" s="405"/>
      <c r="G1" s="405"/>
      <c r="H1" s="405"/>
      <c r="I1" s="405"/>
      <c r="J1" s="405"/>
    </row>
    <row r="2" spans="1:10" x14ac:dyDescent="0.25">
      <c r="A2" s="406" t="s">
        <v>222</v>
      </c>
      <c r="B2" s="406"/>
      <c r="C2" s="406"/>
      <c r="D2" s="406"/>
      <c r="E2" s="406"/>
      <c r="F2" s="406"/>
      <c r="G2" s="406"/>
      <c r="H2" s="406"/>
      <c r="I2" s="406"/>
      <c r="J2" s="406"/>
    </row>
    <row r="3" spans="1:10" x14ac:dyDescent="0.25">
      <c r="A3" s="394" t="s">
        <v>223</v>
      </c>
      <c r="B3" s="394"/>
      <c r="C3" s="394" t="s">
        <v>224</v>
      </c>
      <c r="D3" s="394"/>
      <c r="E3" s="394"/>
      <c r="F3" s="394"/>
      <c r="G3" s="395" t="s">
        <v>225</v>
      </c>
      <c r="H3" s="396" t="s">
        <v>226</v>
      </c>
      <c r="I3" s="395" t="s">
        <v>227</v>
      </c>
      <c r="J3" s="396" t="s">
        <v>228</v>
      </c>
    </row>
    <row r="4" spans="1:10" x14ac:dyDescent="0.25">
      <c r="A4" s="394"/>
      <c r="B4" s="394"/>
      <c r="C4" s="180" t="s">
        <v>189</v>
      </c>
      <c r="D4" s="180" t="s">
        <v>190</v>
      </c>
      <c r="E4" s="180" t="s">
        <v>191</v>
      </c>
      <c r="F4" s="180" t="s">
        <v>194</v>
      </c>
      <c r="G4" s="395"/>
      <c r="H4" s="396"/>
      <c r="I4" s="395"/>
      <c r="J4" s="396"/>
    </row>
    <row r="5" spans="1:10" x14ac:dyDescent="0.25">
      <c r="A5" s="155" t="s">
        <v>229</v>
      </c>
      <c r="B5" s="155" t="s">
        <v>2</v>
      </c>
      <c r="C5" s="156">
        <v>21</v>
      </c>
      <c r="D5" s="156">
        <v>3</v>
      </c>
      <c r="E5" s="156">
        <v>3</v>
      </c>
      <c r="F5" s="156">
        <v>3</v>
      </c>
      <c r="G5" s="157">
        <v>6.26</v>
      </c>
      <c r="H5" s="158">
        <f t="shared" ref="H5:H20" si="0">SUM(C5:F5)*G5</f>
        <v>187.79999999999998</v>
      </c>
      <c r="I5" s="159">
        <v>12</v>
      </c>
      <c r="J5" s="158">
        <f>H5/I5</f>
        <v>15.649999999999999</v>
      </c>
    </row>
    <row r="6" spans="1:10" x14ac:dyDescent="0.25">
      <c r="A6" s="155" t="s">
        <v>230</v>
      </c>
      <c r="B6" s="155" t="s">
        <v>2</v>
      </c>
      <c r="C6" s="156">
        <v>21</v>
      </c>
      <c r="D6" s="156">
        <v>3</v>
      </c>
      <c r="E6" s="156">
        <v>3</v>
      </c>
      <c r="F6" s="156">
        <v>3</v>
      </c>
      <c r="G6" s="157">
        <v>11.8</v>
      </c>
      <c r="H6" s="158">
        <f t="shared" si="0"/>
        <v>354</v>
      </c>
      <c r="I6" s="159">
        <v>12</v>
      </c>
      <c r="J6" s="158">
        <f t="shared" ref="J6:J20" si="1">H6/I6</f>
        <v>29.5</v>
      </c>
    </row>
    <row r="7" spans="1:10" x14ac:dyDescent="0.25">
      <c r="A7" s="156" t="s">
        <v>231</v>
      </c>
      <c r="B7" s="156" t="s">
        <v>2</v>
      </c>
      <c r="C7" s="156">
        <v>2</v>
      </c>
      <c r="D7" s="156">
        <v>1</v>
      </c>
      <c r="E7" s="156">
        <v>1</v>
      </c>
      <c r="F7" s="156">
        <v>1</v>
      </c>
      <c r="G7" s="157">
        <v>160</v>
      </c>
      <c r="H7" s="158">
        <f t="shared" si="0"/>
        <v>800</v>
      </c>
      <c r="I7" s="159">
        <v>12</v>
      </c>
      <c r="J7" s="158">
        <f t="shared" si="1"/>
        <v>66.666666666666671</v>
      </c>
    </row>
    <row r="8" spans="1:10" x14ac:dyDescent="0.25">
      <c r="A8" s="155" t="s">
        <v>232</v>
      </c>
      <c r="B8" s="155" t="s">
        <v>2</v>
      </c>
      <c r="C8" s="156">
        <v>6</v>
      </c>
      <c r="D8" s="156">
        <v>2</v>
      </c>
      <c r="E8" s="156">
        <v>2</v>
      </c>
      <c r="F8" s="156">
        <v>2</v>
      </c>
      <c r="G8" s="157">
        <v>5.47</v>
      </c>
      <c r="H8" s="158">
        <f t="shared" si="0"/>
        <v>65.64</v>
      </c>
      <c r="I8" s="159">
        <v>12</v>
      </c>
      <c r="J8" s="158">
        <f t="shared" si="1"/>
        <v>5.47</v>
      </c>
    </row>
    <row r="9" spans="1:10" x14ac:dyDescent="0.25">
      <c r="A9" s="155" t="s">
        <v>233</v>
      </c>
      <c r="B9" s="155" t="s">
        <v>2</v>
      </c>
      <c r="C9" s="156">
        <v>6</v>
      </c>
      <c r="D9" s="156">
        <v>2</v>
      </c>
      <c r="E9" s="156">
        <v>2</v>
      </c>
      <c r="F9" s="156">
        <v>2</v>
      </c>
      <c r="G9" s="157">
        <v>6.5</v>
      </c>
      <c r="H9" s="158">
        <f t="shared" si="0"/>
        <v>78</v>
      </c>
      <c r="I9" s="159">
        <v>12</v>
      </c>
      <c r="J9" s="158">
        <f t="shared" si="1"/>
        <v>6.5</v>
      </c>
    </row>
    <row r="10" spans="1:10" x14ac:dyDescent="0.25">
      <c r="A10" s="155" t="s">
        <v>234</v>
      </c>
      <c r="B10" s="155" t="s">
        <v>2</v>
      </c>
      <c r="C10" s="156">
        <v>8</v>
      </c>
      <c r="D10" s="156">
        <v>2</v>
      </c>
      <c r="E10" s="156">
        <v>2</v>
      </c>
      <c r="F10" s="156">
        <v>2</v>
      </c>
      <c r="G10" s="157">
        <v>15.05</v>
      </c>
      <c r="H10" s="158">
        <f t="shared" si="0"/>
        <v>210.70000000000002</v>
      </c>
      <c r="I10" s="159">
        <v>12</v>
      </c>
      <c r="J10" s="158">
        <f t="shared" si="1"/>
        <v>17.558333333333334</v>
      </c>
    </row>
    <row r="11" spans="1:10" x14ac:dyDescent="0.25">
      <c r="A11" s="155" t="s">
        <v>235</v>
      </c>
      <c r="B11" s="155" t="s">
        <v>2</v>
      </c>
      <c r="C11" s="156">
        <v>8</v>
      </c>
      <c r="D11" s="156">
        <v>2</v>
      </c>
      <c r="E11" s="156">
        <v>2</v>
      </c>
      <c r="F11" s="156">
        <v>2</v>
      </c>
      <c r="G11" s="157">
        <v>5.03</v>
      </c>
      <c r="H11" s="158">
        <f t="shared" si="0"/>
        <v>70.42</v>
      </c>
      <c r="I11" s="159">
        <v>12</v>
      </c>
      <c r="J11" s="158">
        <f t="shared" si="1"/>
        <v>5.8683333333333332</v>
      </c>
    </row>
    <row r="12" spans="1:10" x14ac:dyDescent="0.25">
      <c r="A12" s="155" t="s">
        <v>236</v>
      </c>
      <c r="B12" s="155" t="s">
        <v>2</v>
      </c>
      <c r="C12" s="156">
        <v>8</v>
      </c>
      <c r="D12" s="156">
        <v>2</v>
      </c>
      <c r="E12" s="156">
        <v>2</v>
      </c>
      <c r="F12" s="156">
        <v>2</v>
      </c>
      <c r="G12" s="157">
        <v>6.57</v>
      </c>
      <c r="H12" s="158">
        <f t="shared" si="0"/>
        <v>91.98</v>
      </c>
      <c r="I12" s="159">
        <v>12</v>
      </c>
      <c r="J12" s="158">
        <f t="shared" si="1"/>
        <v>7.665</v>
      </c>
    </row>
    <row r="13" spans="1:10" x14ac:dyDescent="0.25">
      <c r="A13" s="155" t="s">
        <v>237</v>
      </c>
      <c r="B13" s="155" t="s">
        <v>2</v>
      </c>
      <c r="C13" s="156">
        <v>8</v>
      </c>
      <c r="D13" s="156">
        <v>2</v>
      </c>
      <c r="E13" s="156">
        <v>2</v>
      </c>
      <c r="F13" s="156">
        <v>2</v>
      </c>
      <c r="G13" s="157">
        <v>7.7</v>
      </c>
      <c r="H13" s="158">
        <f t="shared" si="0"/>
        <v>107.8</v>
      </c>
      <c r="I13" s="159">
        <v>12</v>
      </c>
      <c r="J13" s="158">
        <f t="shared" si="1"/>
        <v>8.9833333333333325</v>
      </c>
    </row>
    <row r="14" spans="1:10" x14ac:dyDescent="0.25">
      <c r="A14" s="155" t="s">
        <v>238</v>
      </c>
      <c r="B14" s="155" t="s">
        <v>2</v>
      </c>
      <c r="C14" s="156">
        <v>8</v>
      </c>
      <c r="D14" s="156">
        <v>2</v>
      </c>
      <c r="E14" s="156">
        <v>2</v>
      </c>
      <c r="F14" s="156">
        <v>2</v>
      </c>
      <c r="G14" s="157">
        <v>20.63</v>
      </c>
      <c r="H14" s="158">
        <f t="shared" si="0"/>
        <v>288.82</v>
      </c>
      <c r="I14" s="159">
        <v>12</v>
      </c>
      <c r="J14" s="158">
        <f t="shared" si="1"/>
        <v>24.068333333333332</v>
      </c>
    </row>
    <row r="15" spans="1:10" x14ac:dyDescent="0.25">
      <c r="A15" s="155" t="s">
        <v>239</v>
      </c>
      <c r="B15" s="155" t="s">
        <v>2</v>
      </c>
      <c r="C15" s="156">
        <v>8</v>
      </c>
      <c r="D15" s="156">
        <v>2</v>
      </c>
      <c r="E15" s="156">
        <v>2</v>
      </c>
      <c r="F15" s="156">
        <v>2</v>
      </c>
      <c r="G15" s="157">
        <v>15.46</v>
      </c>
      <c r="H15" s="158">
        <f t="shared" si="0"/>
        <v>216.44</v>
      </c>
      <c r="I15" s="159">
        <v>12</v>
      </c>
      <c r="J15" s="158">
        <f t="shared" si="1"/>
        <v>18.036666666666665</v>
      </c>
    </row>
    <row r="16" spans="1:10" x14ac:dyDescent="0.25">
      <c r="A16" s="155" t="s">
        <v>240</v>
      </c>
      <c r="B16" s="155" t="s">
        <v>2</v>
      </c>
      <c r="C16" s="156">
        <v>8</v>
      </c>
      <c r="D16" s="156">
        <v>2</v>
      </c>
      <c r="E16" s="156">
        <v>2</v>
      </c>
      <c r="F16" s="156">
        <v>2</v>
      </c>
      <c r="G16" s="157">
        <v>23</v>
      </c>
      <c r="H16" s="158">
        <f t="shared" si="0"/>
        <v>322</v>
      </c>
      <c r="I16" s="159">
        <v>12</v>
      </c>
      <c r="J16" s="158">
        <f t="shared" si="1"/>
        <v>26.833333333333332</v>
      </c>
    </row>
    <row r="17" spans="1:10" ht="45" x14ac:dyDescent="0.25">
      <c r="A17" s="155" t="s">
        <v>241</v>
      </c>
      <c r="B17" s="155" t="s">
        <v>2</v>
      </c>
      <c r="C17" s="156">
        <v>8</v>
      </c>
      <c r="D17" s="156">
        <v>2</v>
      </c>
      <c r="E17" s="156">
        <v>2</v>
      </c>
      <c r="F17" s="156">
        <v>2</v>
      </c>
      <c r="G17" s="157">
        <v>20.63</v>
      </c>
      <c r="H17" s="158">
        <f t="shared" si="0"/>
        <v>288.82</v>
      </c>
      <c r="I17" s="159">
        <v>12</v>
      </c>
      <c r="J17" s="158">
        <f t="shared" si="1"/>
        <v>24.068333333333332</v>
      </c>
    </row>
    <row r="18" spans="1:10" x14ac:dyDescent="0.25">
      <c r="A18" s="155" t="s">
        <v>242</v>
      </c>
      <c r="B18" s="155" t="s">
        <v>2</v>
      </c>
      <c r="C18" s="156">
        <v>8</v>
      </c>
      <c r="D18" s="156">
        <v>2</v>
      </c>
      <c r="E18" s="156">
        <v>2</v>
      </c>
      <c r="F18" s="156">
        <v>2</v>
      </c>
      <c r="G18" s="157">
        <v>25.47</v>
      </c>
      <c r="H18" s="158">
        <f t="shared" si="0"/>
        <v>356.58</v>
      </c>
      <c r="I18" s="159">
        <v>12</v>
      </c>
      <c r="J18" s="158">
        <f t="shared" si="1"/>
        <v>29.715</v>
      </c>
    </row>
    <row r="19" spans="1:10" x14ac:dyDescent="0.25">
      <c r="A19" s="155" t="s">
        <v>243</v>
      </c>
      <c r="B19" s="155" t="s">
        <v>2</v>
      </c>
      <c r="C19" s="156">
        <v>8</v>
      </c>
      <c r="D19" s="156">
        <v>2</v>
      </c>
      <c r="E19" s="156">
        <v>2</v>
      </c>
      <c r="F19" s="156">
        <v>2</v>
      </c>
      <c r="G19" s="157">
        <v>7.8</v>
      </c>
      <c r="H19" s="158">
        <f t="shared" si="0"/>
        <v>109.2</v>
      </c>
      <c r="I19" s="159">
        <v>12</v>
      </c>
      <c r="J19" s="158">
        <f t="shared" si="1"/>
        <v>9.1</v>
      </c>
    </row>
    <row r="20" spans="1:10" x14ac:dyDescent="0.25">
      <c r="A20" s="156" t="s">
        <v>244</v>
      </c>
      <c r="B20" s="156" t="s">
        <v>2</v>
      </c>
      <c r="C20" s="156">
        <v>8</v>
      </c>
      <c r="D20" s="156">
        <v>2</v>
      </c>
      <c r="E20" s="156">
        <v>2</v>
      </c>
      <c r="F20" s="156">
        <v>2</v>
      </c>
      <c r="G20" s="157">
        <v>36.74</v>
      </c>
      <c r="H20" s="158">
        <f t="shared" si="0"/>
        <v>514.36</v>
      </c>
      <c r="I20" s="159">
        <v>12</v>
      </c>
      <c r="J20" s="158">
        <f t="shared" si="1"/>
        <v>42.863333333333337</v>
      </c>
    </row>
    <row r="21" spans="1:10" x14ac:dyDescent="0.25">
      <c r="A21" s="397" t="s">
        <v>349</v>
      </c>
      <c r="B21" s="398"/>
      <c r="C21" s="398"/>
      <c r="D21" s="398"/>
      <c r="E21" s="398"/>
      <c r="F21" s="398"/>
      <c r="G21" s="398"/>
      <c r="H21" s="398"/>
      <c r="I21" s="399"/>
      <c r="J21" s="181">
        <f>SUM(J5:J20)</f>
        <v>338.54666666666668</v>
      </c>
    </row>
    <row r="22" spans="1:10" ht="15" customHeight="1" x14ac:dyDescent="0.25">
      <c r="A22" s="397" t="s">
        <v>350</v>
      </c>
      <c r="B22" s="398"/>
      <c r="C22" s="398"/>
      <c r="D22" s="398"/>
      <c r="E22" s="399"/>
      <c r="F22" s="184">
        <f>'RESUMO LOTE 01'!D11</f>
        <v>10</v>
      </c>
      <c r="G22" s="400" t="s">
        <v>351</v>
      </c>
      <c r="H22" s="401"/>
      <c r="I22" s="402">
        <f>J21/F22</f>
        <v>33.854666666666667</v>
      </c>
      <c r="J22" s="403"/>
    </row>
    <row r="23" spans="1:10" ht="15" customHeight="1" x14ac:dyDescent="0.25">
      <c r="A23" s="392"/>
      <c r="B23" s="393"/>
      <c r="C23" s="393"/>
      <c r="D23" s="393"/>
      <c r="E23" s="393"/>
      <c r="F23" s="393"/>
      <c r="G23" s="393"/>
      <c r="H23" s="393"/>
      <c r="I23" s="393"/>
      <c r="J23" s="393"/>
    </row>
    <row r="24" spans="1:10" x14ac:dyDescent="0.25">
      <c r="A24" s="394" t="s">
        <v>245</v>
      </c>
      <c r="B24" s="394"/>
      <c r="C24" s="395" t="s">
        <v>246</v>
      </c>
      <c r="D24" s="395"/>
      <c r="E24" s="395"/>
      <c r="F24" s="395"/>
      <c r="G24" s="395" t="s">
        <v>225</v>
      </c>
      <c r="H24" s="396" t="s">
        <v>226</v>
      </c>
      <c r="I24" s="395" t="s">
        <v>227</v>
      </c>
      <c r="J24" s="396" t="s">
        <v>228</v>
      </c>
    </row>
    <row r="25" spans="1:10" x14ac:dyDescent="0.25">
      <c r="A25" s="394"/>
      <c r="B25" s="394"/>
      <c r="C25" s="180" t="s">
        <v>189</v>
      </c>
      <c r="D25" s="180" t="s">
        <v>190</v>
      </c>
      <c r="E25" s="180" t="s">
        <v>191</v>
      </c>
      <c r="F25" s="180" t="s">
        <v>219</v>
      </c>
      <c r="G25" s="395"/>
      <c r="H25" s="396"/>
      <c r="I25" s="395"/>
      <c r="J25" s="396"/>
    </row>
    <row r="26" spans="1:10" x14ac:dyDescent="0.25">
      <c r="A26" s="156" t="s">
        <v>247</v>
      </c>
      <c r="B26" s="155" t="s">
        <v>2</v>
      </c>
      <c r="C26" s="155">
        <v>2</v>
      </c>
      <c r="D26" s="155">
        <v>1</v>
      </c>
      <c r="E26" s="155">
        <v>1</v>
      </c>
      <c r="F26" s="155">
        <v>1</v>
      </c>
      <c r="G26" s="157">
        <v>253.24</v>
      </c>
      <c r="H26" s="158">
        <f t="shared" ref="H26:H32" si="2">SUM(C26:F26)*G26</f>
        <v>1266.2</v>
      </c>
      <c r="I26" s="159">
        <v>12</v>
      </c>
      <c r="J26" s="158">
        <f t="shared" ref="J26:J32" si="3">H26/I26</f>
        <v>105.51666666666667</v>
      </c>
    </row>
    <row r="27" spans="1:10" x14ac:dyDescent="0.25">
      <c r="A27" s="156" t="s">
        <v>248</v>
      </c>
      <c r="B27" s="155" t="s">
        <v>2</v>
      </c>
      <c r="C27" s="155">
        <v>2</v>
      </c>
      <c r="D27" s="155">
        <v>1</v>
      </c>
      <c r="E27" s="155">
        <v>1</v>
      </c>
      <c r="F27" s="155">
        <v>1</v>
      </c>
      <c r="G27" s="157">
        <v>275.75</v>
      </c>
      <c r="H27" s="158">
        <f t="shared" si="2"/>
        <v>1378.75</v>
      </c>
      <c r="I27" s="159">
        <v>12</v>
      </c>
      <c r="J27" s="158">
        <f t="shared" si="3"/>
        <v>114.89583333333333</v>
      </c>
    </row>
    <row r="28" spans="1:10" x14ac:dyDescent="0.25">
      <c r="A28" s="155" t="s">
        <v>249</v>
      </c>
      <c r="B28" s="155" t="s">
        <v>2</v>
      </c>
      <c r="C28" s="155">
        <v>2</v>
      </c>
      <c r="D28" s="155">
        <v>1</v>
      </c>
      <c r="E28" s="155">
        <v>1</v>
      </c>
      <c r="F28" s="155">
        <v>1</v>
      </c>
      <c r="G28" s="157">
        <v>119</v>
      </c>
      <c r="H28" s="158">
        <f t="shared" si="2"/>
        <v>595</v>
      </c>
      <c r="I28" s="159">
        <v>12</v>
      </c>
      <c r="J28" s="158">
        <f t="shared" si="3"/>
        <v>49.583333333333336</v>
      </c>
    </row>
    <row r="29" spans="1:10" x14ac:dyDescent="0.25">
      <c r="A29" s="156" t="s">
        <v>250</v>
      </c>
      <c r="B29" s="155" t="s">
        <v>2</v>
      </c>
      <c r="C29" s="155">
        <v>2</v>
      </c>
      <c r="D29" s="155">
        <v>1</v>
      </c>
      <c r="E29" s="155">
        <v>1</v>
      </c>
      <c r="F29" s="155">
        <v>1</v>
      </c>
      <c r="G29" s="165">
        <v>74.989999999999995</v>
      </c>
      <c r="H29" s="158">
        <f t="shared" si="2"/>
        <v>374.95</v>
      </c>
      <c r="I29" s="159">
        <v>12</v>
      </c>
      <c r="J29" s="158">
        <f t="shared" si="3"/>
        <v>31.245833333333334</v>
      </c>
    </row>
    <row r="30" spans="1:10" x14ac:dyDescent="0.25">
      <c r="A30" s="155" t="s">
        <v>251</v>
      </c>
      <c r="B30" s="155" t="s">
        <v>2</v>
      </c>
      <c r="C30" s="155">
        <v>3</v>
      </c>
      <c r="D30" s="155">
        <v>1</v>
      </c>
      <c r="E30" s="155">
        <v>1</v>
      </c>
      <c r="F30" s="155">
        <v>1</v>
      </c>
      <c r="G30" s="157">
        <v>10</v>
      </c>
      <c r="H30" s="158">
        <f t="shared" si="2"/>
        <v>60</v>
      </c>
      <c r="I30" s="159">
        <v>12</v>
      </c>
      <c r="J30" s="158">
        <f t="shared" si="3"/>
        <v>5</v>
      </c>
    </row>
    <row r="31" spans="1:10" x14ac:dyDescent="0.25">
      <c r="A31" s="155" t="s">
        <v>252</v>
      </c>
      <c r="B31" s="155" t="s">
        <v>2</v>
      </c>
      <c r="C31" s="155">
        <v>3</v>
      </c>
      <c r="D31" s="155">
        <v>1</v>
      </c>
      <c r="E31" s="155">
        <v>1</v>
      </c>
      <c r="F31" s="155">
        <v>1</v>
      </c>
      <c r="G31" s="157">
        <v>31.74</v>
      </c>
      <c r="H31" s="158">
        <f t="shared" si="2"/>
        <v>190.44</v>
      </c>
      <c r="I31" s="159">
        <v>12</v>
      </c>
      <c r="J31" s="158">
        <f t="shared" si="3"/>
        <v>15.87</v>
      </c>
    </row>
    <row r="32" spans="1:10" x14ac:dyDescent="0.25">
      <c r="A32" s="156" t="s">
        <v>253</v>
      </c>
      <c r="B32" s="155" t="s">
        <v>2</v>
      </c>
      <c r="C32" s="155">
        <v>3</v>
      </c>
      <c r="D32" s="155">
        <v>1</v>
      </c>
      <c r="E32" s="155">
        <v>1</v>
      </c>
      <c r="F32" s="155">
        <v>1</v>
      </c>
      <c r="G32" s="160">
        <v>48</v>
      </c>
      <c r="H32" s="158">
        <f t="shared" si="2"/>
        <v>288</v>
      </c>
      <c r="I32" s="159">
        <v>12</v>
      </c>
      <c r="J32" s="158">
        <f t="shared" si="3"/>
        <v>24</v>
      </c>
    </row>
    <row r="33" spans="1:10" x14ac:dyDescent="0.25">
      <c r="A33" s="397" t="s">
        <v>349</v>
      </c>
      <c r="B33" s="398"/>
      <c r="C33" s="398"/>
      <c r="D33" s="398"/>
      <c r="E33" s="398"/>
      <c r="F33" s="398"/>
      <c r="G33" s="398"/>
      <c r="H33" s="398"/>
      <c r="I33" s="399"/>
      <c r="J33" s="181">
        <f>SUM(J26:J32)</f>
        <v>346.11166666666668</v>
      </c>
    </row>
    <row r="34" spans="1:10" ht="15" customHeight="1" x14ac:dyDescent="0.25">
      <c r="A34" s="397" t="s">
        <v>350</v>
      </c>
      <c r="B34" s="398"/>
      <c r="C34" s="398"/>
      <c r="D34" s="398"/>
      <c r="E34" s="399"/>
      <c r="F34" s="184">
        <f>F22</f>
        <v>10</v>
      </c>
      <c r="G34" s="400" t="s">
        <v>351</v>
      </c>
      <c r="H34" s="401"/>
      <c r="I34" s="402">
        <f>J33/F34</f>
        <v>34.611166666666669</v>
      </c>
      <c r="J34" s="403"/>
    </row>
    <row r="35" spans="1:10" x14ac:dyDescent="0.25">
      <c r="A35" s="392"/>
      <c r="B35" s="393"/>
      <c r="C35" s="393"/>
      <c r="D35" s="393"/>
      <c r="E35" s="393"/>
      <c r="F35" s="393"/>
      <c r="G35" s="393"/>
      <c r="H35" s="393"/>
      <c r="I35" s="393"/>
      <c r="J35" s="393"/>
    </row>
    <row r="36" spans="1:10" x14ac:dyDescent="0.25">
      <c r="A36" s="394" t="s">
        <v>254</v>
      </c>
      <c r="B36" s="394"/>
      <c r="C36" s="395" t="s">
        <v>246</v>
      </c>
      <c r="D36" s="395"/>
      <c r="E36" s="395"/>
      <c r="F36" s="395"/>
      <c r="G36" s="395" t="s">
        <v>225</v>
      </c>
      <c r="H36" s="396" t="s">
        <v>226</v>
      </c>
      <c r="I36" s="395" t="s">
        <v>227</v>
      </c>
      <c r="J36" s="396" t="s">
        <v>228</v>
      </c>
    </row>
    <row r="37" spans="1:10" x14ac:dyDescent="0.25">
      <c r="A37" s="394"/>
      <c r="B37" s="394"/>
      <c r="C37" s="180" t="s">
        <v>189</v>
      </c>
      <c r="D37" s="180" t="s">
        <v>190</v>
      </c>
      <c r="E37" s="180" t="s">
        <v>191</v>
      </c>
      <c r="F37" s="180" t="s">
        <v>219</v>
      </c>
      <c r="G37" s="395"/>
      <c r="H37" s="396"/>
      <c r="I37" s="395"/>
      <c r="J37" s="396"/>
    </row>
    <row r="38" spans="1:10" ht="30" x14ac:dyDescent="0.25">
      <c r="A38" s="155" t="s">
        <v>255</v>
      </c>
      <c r="B38" s="155" t="s">
        <v>256</v>
      </c>
      <c r="C38" s="156">
        <v>100</v>
      </c>
      <c r="D38" s="156">
        <v>22</v>
      </c>
      <c r="E38" s="156">
        <v>22</v>
      </c>
      <c r="F38" s="156">
        <v>22</v>
      </c>
      <c r="G38" s="160">
        <v>56</v>
      </c>
      <c r="H38" s="158">
        <f>SUM(C38:F38)*G38</f>
        <v>9296</v>
      </c>
      <c r="I38" s="159">
        <v>12</v>
      </c>
      <c r="J38" s="158">
        <f t="shared" ref="J38:J40" si="4">H38/I38</f>
        <v>774.66666666666663</v>
      </c>
    </row>
    <row r="39" spans="1:10" x14ac:dyDescent="0.25">
      <c r="A39" s="155" t="s">
        <v>257</v>
      </c>
      <c r="B39" s="155" t="s">
        <v>256</v>
      </c>
      <c r="C39" s="156">
        <v>110</v>
      </c>
      <c r="D39" s="156">
        <v>25</v>
      </c>
      <c r="E39" s="156">
        <v>25</v>
      </c>
      <c r="F39" s="156">
        <v>25</v>
      </c>
      <c r="G39" s="160">
        <v>71.98</v>
      </c>
      <c r="H39" s="158">
        <f>SUM(C39:F39)*G39</f>
        <v>13316.300000000001</v>
      </c>
      <c r="I39" s="159">
        <v>12</v>
      </c>
      <c r="J39" s="158">
        <f t="shared" si="4"/>
        <v>1109.6916666666668</v>
      </c>
    </row>
    <row r="40" spans="1:10" x14ac:dyDescent="0.25">
      <c r="A40" s="156" t="s">
        <v>258</v>
      </c>
      <c r="B40" s="155" t="s">
        <v>2</v>
      </c>
      <c r="C40" s="156">
        <v>96</v>
      </c>
      <c r="D40" s="156">
        <v>36</v>
      </c>
      <c r="E40" s="156">
        <v>36</v>
      </c>
      <c r="F40" s="156">
        <v>36</v>
      </c>
      <c r="G40" s="160">
        <v>10.39</v>
      </c>
      <c r="H40" s="158">
        <f>SUM(C40:F40)*G40</f>
        <v>2119.56</v>
      </c>
      <c r="I40" s="159">
        <v>12</v>
      </c>
      <c r="J40" s="158">
        <f t="shared" si="4"/>
        <v>176.63</v>
      </c>
    </row>
    <row r="41" spans="1:10" x14ac:dyDescent="0.25">
      <c r="A41" s="397" t="s">
        <v>349</v>
      </c>
      <c r="B41" s="398"/>
      <c r="C41" s="398"/>
      <c r="D41" s="398"/>
      <c r="E41" s="398"/>
      <c r="F41" s="398"/>
      <c r="G41" s="398"/>
      <c r="H41" s="398"/>
      <c r="I41" s="399"/>
      <c r="J41" s="181">
        <f>SUM(J38:J40)</f>
        <v>2060.9883333333337</v>
      </c>
    </row>
    <row r="42" spans="1:10" ht="15" customHeight="1" x14ac:dyDescent="0.25">
      <c r="A42" s="397" t="s">
        <v>350</v>
      </c>
      <c r="B42" s="398"/>
      <c r="C42" s="398"/>
      <c r="D42" s="398"/>
      <c r="E42" s="399"/>
      <c r="F42" s="184">
        <f>F22</f>
        <v>10</v>
      </c>
      <c r="G42" s="400" t="s">
        <v>351</v>
      </c>
      <c r="H42" s="401"/>
      <c r="I42" s="402">
        <f>J41/F42</f>
        <v>206.09883333333337</v>
      </c>
      <c r="J42" s="403"/>
    </row>
    <row r="43" spans="1:10" x14ac:dyDescent="0.25">
      <c r="A43" s="392"/>
      <c r="B43" s="393"/>
      <c r="C43" s="393"/>
      <c r="D43" s="393"/>
      <c r="E43" s="393"/>
      <c r="F43" s="393"/>
      <c r="G43" s="393"/>
      <c r="H43" s="393"/>
      <c r="I43" s="393"/>
      <c r="J43" s="393"/>
    </row>
    <row r="44" spans="1:10" x14ac:dyDescent="0.25">
      <c r="A44" s="394" t="s">
        <v>259</v>
      </c>
      <c r="B44" s="394"/>
      <c r="C44" s="395" t="s">
        <v>246</v>
      </c>
      <c r="D44" s="395"/>
      <c r="E44" s="395"/>
      <c r="F44" s="395"/>
      <c r="G44" s="395" t="s">
        <v>225</v>
      </c>
      <c r="H44" s="396" t="s">
        <v>226</v>
      </c>
      <c r="I44" s="395" t="s">
        <v>227</v>
      </c>
      <c r="J44" s="396" t="s">
        <v>228</v>
      </c>
    </row>
    <row r="45" spans="1:10" x14ac:dyDescent="0.25">
      <c r="A45" s="394"/>
      <c r="B45" s="394"/>
      <c r="C45" s="180" t="s">
        <v>189</v>
      </c>
      <c r="D45" s="180" t="s">
        <v>190</v>
      </c>
      <c r="E45" s="180" t="s">
        <v>191</v>
      </c>
      <c r="F45" s="180" t="s">
        <v>219</v>
      </c>
      <c r="G45" s="395"/>
      <c r="H45" s="396"/>
      <c r="I45" s="395"/>
      <c r="J45" s="396"/>
    </row>
    <row r="46" spans="1:10" x14ac:dyDescent="0.25">
      <c r="A46" s="156" t="s">
        <v>260</v>
      </c>
      <c r="B46" s="159" t="s">
        <v>2</v>
      </c>
      <c r="C46" s="155">
        <v>28</v>
      </c>
      <c r="D46" s="155">
        <v>4</v>
      </c>
      <c r="E46" s="155">
        <v>4</v>
      </c>
      <c r="F46" s="155">
        <v>4</v>
      </c>
      <c r="G46" s="157">
        <v>45</v>
      </c>
      <c r="H46" s="158">
        <f t="shared" ref="H46:H51" si="5">SUM(C46:F46)*G46</f>
        <v>1800</v>
      </c>
      <c r="I46" s="159">
        <v>12</v>
      </c>
      <c r="J46" s="158">
        <f t="shared" ref="J46:J51" si="6">H46/I46</f>
        <v>150</v>
      </c>
    </row>
    <row r="47" spans="1:10" x14ac:dyDescent="0.25">
      <c r="A47" s="156" t="s">
        <v>261</v>
      </c>
      <c r="B47" s="159" t="s">
        <v>2</v>
      </c>
      <c r="C47" s="155">
        <v>28</v>
      </c>
      <c r="D47" s="155">
        <v>4</v>
      </c>
      <c r="E47" s="155">
        <v>4</v>
      </c>
      <c r="F47" s="155">
        <v>4</v>
      </c>
      <c r="G47" s="157">
        <v>34.74</v>
      </c>
      <c r="H47" s="158">
        <f t="shared" si="5"/>
        <v>1389.6000000000001</v>
      </c>
      <c r="I47" s="159">
        <v>12</v>
      </c>
      <c r="J47" s="158">
        <f t="shared" si="6"/>
        <v>115.80000000000001</v>
      </c>
    </row>
    <row r="48" spans="1:10" x14ac:dyDescent="0.25">
      <c r="A48" s="155" t="s">
        <v>262</v>
      </c>
      <c r="B48" s="159" t="s">
        <v>2</v>
      </c>
      <c r="C48" s="155">
        <v>14</v>
      </c>
      <c r="D48" s="155">
        <v>2</v>
      </c>
      <c r="E48" s="155">
        <v>2</v>
      </c>
      <c r="F48" s="155">
        <v>2</v>
      </c>
      <c r="G48" s="157">
        <v>25</v>
      </c>
      <c r="H48" s="158">
        <f t="shared" si="5"/>
        <v>500</v>
      </c>
      <c r="I48" s="159">
        <v>12</v>
      </c>
      <c r="J48" s="158">
        <f t="shared" si="6"/>
        <v>41.666666666666664</v>
      </c>
    </row>
    <row r="49" spans="1:10" x14ac:dyDescent="0.25">
      <c r="A49" s="156" t="s">
        <v>263</v>
      </c>
      <c r="B49" s="159" t="s">
        <v>264</v>
      </c>
      <c r="C49" s="155">
        <v>28</v>
      </c>
      <c r="D49" s="155">
        <v>4</v>
      </c>
      <c r="E49" s="155">
        <v>4</v>
      </c>
      <c r="F49" s="155">
        <v>4</v>
      </c>
      <c r="G49" s="157">
        <v>3.89</v>
      </c>
      <c r="H49" s="158">
        <f t="shared" si="5"/>
        <v>155.6</v>
      </c>
      <c r="I49" s="159">
        <v>12</v>
      </c>
      <c r="J49" s="158">
        <f t="shared" si="6"/>
        <v>12.966666666666667</v>
      </c>
    </row>
    <row r="50" spans="1:10" x14ac:dyDescent="0.25">
      <c r="A50" s="155" t="s">
        <v>265</v>
      </c>
      <c r="B50" s="159" t="s">
        <v>264</v>
      </c>
      <c r="C50" s="155">
        <v>14</v>
      </c>
      <c r="D50" s="155">
        <v>2</v>
      </c>
      <c r="E50" s="155">
        <v>2</v>
      </c>
      <c r="F50" s="155">
        <v>2</v>
      </c>
      <c r="G50" s="157">
        <v>51.95</v>
      </c>
      <c r="H50" s="158">
        <f t="shared" si="5"/>
        <v>1039</v>
      </c>
      <c r="I50" s="159">
        <v>12</v>
      </c>
      <c r="J50" s="158">
        <f t="shared" si="6"/>
        <v>86.583333333333329</v>
      </c>
    </row>
    <row r="51" spans="1:10" x14ac:dyDescent="0.25">
      <c r="A51" s="155" t="s">
        <v>266</v>
      </c>
      <c r="B51" s="159" t="s">
        <v>2</v>
      </c>
      <c r="C51" s="155">
        <v>14</v>
      </c>
      <c r="D51" s="155">
        <v>2</v>
      </c>
      <c r="E51" s="155">
        <v>2</v>
      </c>
      <c r="F51" s="155">
        <v>2</v>
      </c>
      <c r="G51" s="157">
        <v>9.9</v>
      </c>
      <c r="H51" s="158">
        <f t="shared" si="5"/>
        <v>198</v>
      </c>
      <c r="I51" s="159">
        <v>12</v>
      </c>
      <c r="J51" s="158">
        <f t="shared" si="6"/>
        <v>16.5</v>
      </c>
    </row>
    <row r="52" spans="1:10" x14ac:dyDescent="0.25">
      <c r="A52" s="397" t="s">
        <v>349</v>
      </c>
      <c r="B52" s="398"/>
      <c r="C52" s="398"/>
      <c r="D52" s="398"/>
      <c r="E52" s="398"/>
      <c r="F52" s="398"/>
      <c r="G52" s="398"/>
      <c r="H52" s="398"/>
      <c r="I52" s="399"/>
      <c r="J52" s="181">
        <f>SUM(J46:J51)</f>
        <v>423.51666666666665</v>
      </c>
    </row>
    <row r="53" spans="1:10" ht="15" customHeight="1" x14ac:dyDescent="0.25">
      <c r="A53" s="397" t="s">
        <v>350</v>
      </c>
      <c r="B53" s="398"/>
      <c r="C53" s="398"/>
      <c r="D53" s="398"/>
      <c r="E53" s="399"/>
      <c r="F53" s="184">
        <f>F22</f>
        <v>10</v>
      </c>
      <c r="G53" s="400" t="s">
        <v>351</v>
      </c>
      <c r="H53" s="401"/>
      <c r="I53" s="402">
        <f>J52/F53</f>
        <v>42.351666666666667</v>
      </c>
      <c r="J53" s="403"/>
    </row>
    <row r="54" spans="1:10" x14ac:dyDescent="0.25">
      <c r="A54" s="392"/>
      <c r="B54" s="393"/>
      <c r="C54" s="393"/>
      <c r="D54" s="393"/>
      <c r="E54" s="393"/>
      <c r="F54" s="393"/>
      <c r="G54" s="393"/>
      <c r="H54" s="393"/>
      <c r="I54" s="393"/>
      <c r="J54" s="393"/>
    </row>
    <row r="55" spans="1:10" x14ac:dyDescent="0.25">
      <c r="A55" s="394" t="s">
        <v>267</v>
      </c>
      <c r="B55" s="394"/>
      <c r="C55" s="395" t="s">
        <v>246</v>
      </c>
      <c r="D55" s="395"/>
      <c r="E55" s="395"/>
      <c r="F55" s="404"/>
      <c r="G55" s="395" t="s">
        <v>225</v>
      </c>
      <c r="H55" s="396" t="s">
        <v>226</v>
      </c>
      <c r="I55" s="395" t="s">
        <v>227</v>
      </c>
      <c r="J55" s="396" t="s">
        <v>228</v>
      </c>
    </row>
    <row r="56" spans="1:10" x14ac:dyDescent="0.25">
      <c r="A56" s="383"/>
      <c r="B56" s="394"/>
      <c r="C56" s="180" t="s">
        <v>189</v>
      </c>
      <c r="D56" s="180" t="s">
        <v>190</v>
      </c>
      <c r="E56" s="180" t="s">
        <v>191</v>
      </c>
      <c r="F56" s="180" t="s">
        <v>219</v>
      </c>
      <c r="G56" s="395"/>
      <c r="H56" s="396"/>
      <c r="I56" s="395"/>
      <c r="J56" s="396"/>
    </row>
    <row r="57" spans="1:10" x14ac:dyDescent="0.25">
      <c r="A57" s="155" t="s">
        <v>268</v>
      </c>
      <c r="B57" s="155" t="s">
        <v>2</v>
      </c>
      <c r="C57" s="155">
        <v>14</v>
      </c>
      <c r="D57" s="155">
        <v>2</v>
      </c>
      <c r="E57" s="155">
        <v>2</v>
      </c>
      <c r="F57" s="155">
        <v>2</v>
      </c>
      <c r="G57" s="157">
        <v>15</v>
      </c>
      <c r="H57" s="158">
        <f t="shared" ref="H57:H70" si="7">SUM(C57:F57)*G57</f>
        <v>300</v>
      </c>
      <c r="I57" s="159">
        <v>12</v>
      </c>
      <c r="J57" s="158">
        <f t="shared" ref="J57:J70" si="8">H57/I57</f>
        <v>25</v>
      </c>
    </row>
    <row r="58" spans="1:10" x14ac:dyDescent="0.25">
      <c r="A58" s="156" t="s">
        <v>269</v>
      </c>
      <c r="B58" s="155" t="s">
        <v>264</v>
      </c>
      <c r="C58" s="155">
        <v>14</v>
      </c>
      <c r="D58" s="155">
        <v>2</v>
      </c>
      <c r="E58" s="155">
        <v>2</v>
      </c>
      <c r="F58" s="155">
        <v>2</v>
      </c>
      <c r="G58" s="160">
        <v>45</v>
      </c>
      <c r="H58" s="158">
        <f t="shared" si="7"/>
        <v>900</v>
      </c>
      <c r="I58" s="159">
        <v>12</v>
      </c>
      <c r="J58" s="158">
        <f t="shared" si="8"/>
        <v>75</v>
      </c>
    </row>
    <row r="59" spans="1:10" x14ac:dyDescent="0.25">
      <c r="A59" s="155" t="s">
        <v>270</v>
      </c>
      <c r="B59" s="155" t="s">
        <v>2</v>
      </c>
      <c r="C59" s="155">
        <v>7</v>
      </c>
      <c r="D59" s="155">
        <v>1</v>
      </c>
      <c r="E59" s="155">
        <v>1</v>
      </c>
      <c r="F59" s="155">
        <v>1</v>
      </c>
      <c r="G59" s="157">
        <v>20.79</v>
      </c>
      <c r="H59" s="158">
        <f t="shared" si="7"/>
        <v>207.89999999999998</v>
      </c>
      <c r="I59" s="159">
        <v>12</v>
      </c>
      <c r="J59" s="158">
        <f t="shared" si="8"/>
        <v>17.324999999999999</v>
      </c>
    </row>
    <row r="60" spans="1:10" x14ac:dyDescent="0.25">
      <c r="A60" s="155" t="s">
        <v>271</v>
      </c>
      <c r="B60" s="155" t="s">
        <v>2</v>
      </c>
      <c r="C60" s="155">
        <v>7</v>
      </c>
      <c r="D60" s="155">
        <v>1</v>
      </c>
      <c r="E60" s="155">
        <v>1</v>
      </c>
      <c r="F60" s="155">
        <v>1</v>
      </c>
      <c r="G60" s="157">
        <v>35</v>
      </c>
      <c r="H60" s="158">
        <f t="shared" si="7"/>
        <v>350</v>
      </c>
      <c r="I60" s="159">
        <v>12</v>
      </c>
      <c r="J60" s="158">
        <f t="shared" si="8"/>
        <v>29.166666666666668</v>
      </c>
    </row>
    <row r="61" spans="1:10" x14ac:dyDescent="0.25">
      <c r="A61" s="155" t="s">
        <v>272</v>
      </c>
      <c r="B61" s="155" t="s">
        <v>264</v>
      </c>
      <c r="C61" s="155">
        <v>28</v>
      </c>
      <c r="D61" s="155">
        <v>4</v>
      </c>
      <c r="E61" s="155">
        <v>4</v>
      </c>
      <c r="F61" s="155">
        <v>4</v>
      </c>
      <c r="G61" s="157">
        <v>7</v>
      </c>
      <c r="H61" s="158">
        <f t="shared" si="7"/>
        <v>280</v>
      </c>
      <c r="I61" s="159">
        <v>12</v>
      </c>
      <c r="J61" s="158">
        <f t="shared" si="8"/>
        <v>23.333333333333332</v>
      </c>
    </row>
    <row r="62" spans="1:10" x14ac:dyDescent="0.25">
      <c r="A62" s="155" t="s">
        <v>273</v>
      </c>
      <c r="B62" s="155" t="s">
        <v>264</v>
      </c>
      <c r="C62" s="155">
        <v>84</v>
      </c>
      <c r="D62" s="155">
        <v>12</v>
      </c>
      <c r="E62" s="155">
        <v>12</v>
      </c>
      <c r="F62" s="155">
        <v>12</v>
      </c>
      <c r="G62" s="157">
        <v>2.74</v>
      </c>
      <c r="H62" s="158">
        <f t="shared" si="7"/>
        <v>328.8</v>
      </c>
      <c r="I62" s="159">
        <v>12</v>
      </c>
      <c r="J62" s="158">
        <f t="shared" si="8"/>
        <v>27.400000000000002</v>
      </c>
    </row>
    <row r="63" spans="1:10" x14ac:dyDescent="0.25">
      <c r="A63" s="155" t="s">
        <v>274</v>
      </c>
      <c r="B63" s="155" t="s">
        <v>256</v>
      </c>
      <c r="C63" s="155">
        <v>84</v>
      </c>
      <c r="D63" s="155">
        <v>12</v>
      </c>
      <c r="E63" s="155">
        <v>12</v>
      </c>
      <c r="F63" s="155">
        <v>12</v>
      </c>
      <c r="G63" s="157">
        <v>15</v>
      </c>
      <c r="H63" s="158">
        <f t="shared" si="7"/>
        <v>1800</v>
      </c>
      <c r="I63" s="159">
        <v>12</v>
      </c>
      <c r="J63" s="158">
        <f t="shared" si="8"/>
        <v>150</v>
      </c>
    </row>
    <row r="64" spans="1:10" ht="45" x14ac:dyDescent="0.25">
      <c r="A64" s="161" t="s">
        <v>275</v>
      </c>
      <c r="B64" s="155" t="s">
        <v>264</v>
      </c>
      <c r="C64" s="155">
        <v>84</v>
      </c>
      <c r="D64" s="155">
        <v>12</v>
      </c>
      <c r="E64" s="155">
        <v>12</v>
      </c>
      <c r="F64" s="155">
        <v>12</v>
      </c>
      <c r="G64" s="162">
        <v>9.9</v>
      </c>
      <c r="H64" s="158">
        <f t="shared" si="7"/>
        <v>1188</v>
      </c>
      <c r="I64" s="159">
        <v>12</v>
      </c>
      <c r="J64" s="158">
        <f t="shared" si="8"/>
        <v>99</v>
      </c>
    </row>
    <row r="65" spans="1:10" x14ac:dyDescent="0.25">
      <c r="A65" s="155" t="s">
        <v>276</v>
      </c>
      <c r="B65" s="155" t="s">
        <v>2</v>
      </c>
      <c r="C65" s="155">
        <v>14</v>
      </c>
      <c r="D65" s="155">
        <v>1</v>
      </c>
      <c r="E65" s="155">
        <v>1</v>
      </c>
      <c r="F65" s="155">
        <v>1</v>
      </c>
      <c r="G65" s="157">
        <v>6.88</v>
      </c>
      <c r="H65" s="158">
        <f t="shared" si="7"/>
        <v>116.96</v>
      </c>
      <c r="I65" s="159">
        <v>12</v>
      </c>
      <c r="J65" s="158">
        <f t="shared" si="8"/>
        <v>9.7466666666666661</v>
      </c>
    </row>
    <row r="66" spans="1:10" x14ac:dyDescent="0.25">
      <c r="A66" s="155" t="s">
        <v>277</v>
      </c>
      <c r="B66" s="155" t="s">
        <v>2</v>
      </c>
      <c r="C66" s="155">
        <v>14</v>
      </c>
      <c r="D66" s="155">
        <v>1</v>
      </c>
      <c r="E66" s="155">
        <v>1</v>
      </c>
      <c r="F66" s="155">
        <v>1</v>
      </c>
      <c r="G66" s="160">
        <v>4</v>
      </c>
      <c r="H66" s="158">
        <f t="shared" si="7"/>
        <v>68</v>
      </c>
      <c r="I66" s="159">
        <v>12</v>
      </c>
      <c r="J66" s="158">
        <f t="shared" si="8"/>
        <v>5.666666666666667</v>
      </c>
    </row>
    <row r="67" spans="1:10" x14ac:dyDescent="0.25">
      <c r="A67" s="155" t="s">
        <v>278</v>
      </c>
      <c r="B67" s="155" t="s">
        <v>264</v>
      </c>
      <c r="C67" s="155">
        <v>28</v>
      </c>
      <c r="D67" s="155">
        <v>4</v>
      </c>
      <c r="E67" s="155">
        <v>4</v>
      </c>
      <c r="F67" s="155">
        <v>4</v>
      </c>
      <c r="G67" s="157">
        <v>1.3</v>
      </c>
      <c r="H67" s="158">
        <f t="shared" si="7"/>
        <v>52</v>
      </c>
      <c r="I67" s="159">
        <v>12</v>
      </c>
      <c r="J67" s="158">
        <f t="shared" si="8"/>
        <v>4.333333333333333</v>
      </c>
    </row>
    <row r="68" spans="1:10" x14ac:dyDescent="0.25">
      <c r="A68" s="155" t="s">
        <v>279</v>
      </c>
      <c r="B68" s="155" t="s">
        <v>2</v>
      </c>
      <c r="C68" s="155">
        <v>126</v>
      </c>
      <c r="D68" s="155">
        <v>18</v>
      </c>
      <c r="E68" s="155">
        <v>18</v>
      </c>
      <c r="F68" s="155">
        <v>18</v>
      </c>
      <c r="G68" s="157">
        <v>3.9</v>
      </c>
      <c r="H68" s="158">
        <f t="shared" si="7"/>
        <v>702</v>
      </c>
      <c r="I68" s="159">
        <v>12</v>
      </c>
      <c r="J68" s="158">
        <f t="shared" si="8"/>
        <v>58.5</v>
      </c>
    </row>
    <row r="69" spans="1:10" x14ac:dyDescent="0.25">
      <c r="A69" s="155" t="s">
        <v>280</v>
      </c>
      <c r="B69" s="155" t="s">
        <v>2</v>
      </c>
      <c r="C69" s="155">
        <v>2</v>
      </c>
      <c r="D69" s="155">
        <v>1</v>
      </c>
      <c r="E69" s="155">
        <v>1</v>
      </c>
      <c r="F69" s="155">
        <v>1</v>
      </c>
      <c r="G69" s="157">
        <v>105</v>
      </c>
      <c r="H69" s="158">
        <f t="shared" si="7"/>
        <v>525</v>
      </c>
      <c r="I69" s="159">
        <v>12</v>
      </c>
      <c r="J69" s="158">
        <f t="shared" si="8"/>
        <v>43.75</v>
      </c>
    </row>
    <row r="70" spans="1:10" x14ac:dyDescent="0.25">
      <c r="A70" s="155" t="s">
        <v>281</v>
      </c>
      <c r="B70" s="155" t="s">
        <v>2</v>
      </c>
      <c r="C70" s="155">
        <v>1</v>
      </c>
      <c r="D70" s="155">
        <v>1</v>
      </c>
      <c r="E70" s="155">
        <v>1</v>
      </c>
      <c r="F70" s="155">
        <v>1</v>
      </c>
      <c r="G70" s="157">
        <v>150.88999999999999</v>
      </c>
      <c r="H70" s="158">
        <f t="shared" si="7"/>
        <v>603.55999999999995</v>
      </c>
      <c r="I70" s="159">
        <v>12</v>
      </c>
      <c r="J70" s="158">
        <f t="shared" si="8"/>
        <v>50.29666666666666</v>
      </c>
    </row>
    <row r="71" spans="1:10" x14ac:dyDescent="0.25">
      <c r="A71" s="397" t="s">
        <v>349</v>
      </c>
      <c r="B71" s="398"/>
      <c r="C71" s="398"/>
      <c r="D71" s="398"/>
      <c r="E71" s="398"/>
      <c r="F71" s="398"/>
      <c r="G71" s="398"/>
      <c r="H71" s="398"/>
      <c r="I71" s="399"/>
      <c r="J71" s="181">
        <f>SUM(J57:J70)</f>
        <v>618.51833333333332</v>
      </c>
    </row>
    <row r="72" spans="1:10" ht="15" customHeight="1" x14ac:dyDescent="0.25">
      <c r="A72" s="397" t="s">
        <v>350</v>
      </c>
      <c r="B72" s="398"/>
      <c r="C72" s="398"/>
      <c r="D72" s="398"/>
      <c r="E72" s="399"/>
      <c r="F72" s="184">
        <f>F22</f>
        <v>10</v>
      </c>
      <c r="G72" s="400" t="s">
        <v>351</v>
      </c>
      <c r="H72" s="401"/>
      <c r="I72" s="402">
        <f>J71/F72</f>
        <v>61.851833333333332</v>
      </c>
      <c r="J72" s="403"/>
    </row>
    <row r="73" spans="1:10" x14ac:dyDescent="0.25">
      <c r="A73" s="392"/>
      <c r="B73" s="393"/>
      <c r="C73" s="393"/>
      <c r="D73" s="393"/>
      <c r="E73" s="393"/>
      <c r="F73" s="393"/>
      <c r="G73" s="393"/>
      <c r="H73" s="393"/>
      <c r="I73" s="393"/>
      <c r="J73" s="393"/>
    </row>
    <row r="74" spans="1:10" x14ac:dyDescent="0.25">
      <c r="A74" s="394" t="s">
        <v>282</v>
      </c>
      <c r="B74" s="394"/>
      <c r="C74" s="395" t="s">
        <v>246</v>
      </c>
      <c r="D74" s="395"/>
      <c r="E74" s="395"/>
      <c r="F74" s="395"/>
      <c r="G74" s="395" t="s">
        <v>225</v>
      </c>
      <c r="H74" s="396" t="s">
        <v>226</v>
      </c>
      <c r="I74" s="395" t="s">
        <v>227</v>
      </c>
      <c r="J74" s="396" t="s">
        <v>228</v>
      </c>
    </row>
    <row r="75" spans="1:10" x14ac:dyDescent="0.25">
      <c r="A75" s="394"/>
      <c r="B75" s="394"/>
      <c r="C75" s="180" t="s">
        <v>189</v>
      </c>
      <c r="D75" s="180" t="s">
        <v>190</v>
      </c>
      <c r="E75" s="180" t="s">
        <v>191</v>
      </c>
      <c r="F75" s="180" t="s">
        <v>219</v>
      </c>
      <c r="G75" s="395"/>
      <c r="H75" s="396"/>
      <c r="I75" s="395"/>
      <c r="J75" s="396"/>
    </row>
    <row r="76" spans="1:10" x14ac:dyDescent="0.25">
      <c r="A76" s="155" t="s">
        <v>283</v>
      </c>
      <c r="B76" s="155" t="s">
        <v>2</v>
      </c>
      <c r="C76" s="155">
        <v>7</v>
      </c>
      <c r="D76" s="155">
        <v>1</v>
      </c>
      <c r="E76" s="155">
        <v>1</v>
      </c>
      <c r="F76" s="155">
        <v>1</v>
      </c>
      <c r="G76" s="157">
        <v>58.25</v>
      </c>
      <c r="H76" s="158">
        <f t="shared" ref="H76:H82" si="9">SUM(C76:F76)*G76</f>
        <v>582.5</v>
      </c>
      <c r="I76" s="159">
        <v>12</v>
      </c>
      <c r="J76" s="158">
        <f t="shared" ref="J76:J82" si="10">H76/I76</f>
        <v>48.541666666666664</v>
      </c>
    </row>
    <row r="77" spans="1:10" ht="15.75" x14ac:dyDescent="0.25">
      <c r="A77" s="163" t="s">
        <v>284</v>
      </c>
      <c r="B77" s="155" t="s">
        <v>2</v>
      </c>
      <c r="C77" s="155">
        <v>2</v>
      </c>
      <c r="D77" s="155">
        <v>1</v>
      </c>
      <c r="E77" s="155">
        <v>1</v>
      </c>
      <c r="F77" s="182">
        <v>1</v>
      </c>
      <c r="G77" s="164">
        <v>1066.2</v>
      </c>
      <c r="H77" s="158">
        <f t="shared" si="9"/>
        <v>5331</v>
      </c>
      <c r="I77" s="159">
        <v>12</v>
      </c>
      <c r="J77" s="158">
        <f t="shared" si="10"/>
        <v>444.25</v>
      </c>
    </row>
    <row r="78" spans="1:10" x14ac:dyDescent="0.25">
      <c r="A78" s="155" t="s">
        <v>285</v>
      </c>
      <c r="B78" s="155" t="s">
        <v>2</v>
      </c>
      <c r="C78" s="155">
        <v>4</v>
      </c>
      <c r="D78" s="155">
        <v>2</v>
      </c>
      <c r="E78" s="155">
        <v>2</v>
      </c>
      <c r="F78" s="155">
        <v>2</v>
      </c>
      <c r="G78" s="157">
        <v>11</v>
      </c>
      <c r="H78" s="158">
        <f t="shared" si="9"/>
        <v>110</v>
      </c>
      <c r="I78" s="159">
        <v>12</v>
      </c>
      <c r="J78" s="158">
        <f t="shared" si="10"/>
        <v>9.1666666666666661</v>
      </c>
    </row>
    <row r="79" spans="1:10" x14ac:dyDescent="0.25">
      <c r="A79" s="155" t="s">
        <v>286</v>
      </c>
      <c r="B79" s="155" t="s">
        <v>2</v>
      </c>
      <c r="C79" s="155">
        <v>8</v>
      </c>
      <c r="D79" s="155">
        <v>2</v>
      </c>
      <c r="E79" s="155">
        <v>2</v>
      </c>
      <c r="F79" s="155">
        <v>2</v>
      </c>
      <c r="G79" s="157">
        <v>45</v>
      </c>
      <c r="H79" s="158">
        <f t="shared" si="9"/>
        <v>630</v>
      </c>
      <c r="I79" s="159">
        <v>12</v>
      </c>
      <c r="J79" s="158">
        <f t="shared" si="10"/>
        <v>52.5</v>
      </c>
    </row>
    <row r="80" spans="1:10" x14ac:dyDescent="0.25">
      <c r="A80" s="155" t="s">
        <v>287</v>
      </c>
      <c r="B80" s="155" t="s">
        <v>2</v>
      </c>
      <c r="C80" s="155">
        <v>8</v>
      </c>
      <c r="D80" s="155">
        <v>2</v>
      </c>
      <c r="E80" s="155">
        <v>2</v>
      </c>
      <c r="F80" s="155">
        <v>2</v>
      </c>
      <c r="G80" s="157">
        <v>64</v>
      </c>
      <c r="H80" s="158">
        <f t="shared" si="9"/>
        <v>896</v>
      </c>
      <c r="I80" s="159">
        <v>12</v>
      </c>
      <c r="J80" s="158">
        <f t="shared" si="10"/>
        <v>74.666666666666671</v>
      </c>
    </row>
    <row r="81" spans="1:10" x14ac:dyDescent="0.25">
      <c r="A81" s="155" t="s">
        <v>288</v>
      </c>
      <c r="B81" s="155" t="s">
        <v>2</v>
      </c>
      <c r="C81" s="155">
        <v>4</v>
      </c>
      <c r="D81" s="155">
        <v>1</v>
      </c>
      <c r="E81" s="155">
        <v>1</v>
      </c>
      <c r="F81" s="155">
        <v>1</v>
      </c>
      <c r="G81" s="157">
        <v>50</v>
      </c>
      <c r="H81" s="158">
        <f t="shared" si="9"/>
        <v>350</v>
      </c>
      <c r="I81" s="159">
        <v>12</v>
      </c>
      <c r="J81" s="158">
        <f t="shared" si="10"/>
        <v>29.166666666666668</v>
      </c>
    </row>
    <row r="82" spans="1:10" x14ac:dyDescent="0.25">
      <c r="A82" s="155" t="s">
        <v>289</v>
      </c>
      <c r="B82" s="155" t="s">
        <v>2</v>
      </c>
      <c r="C82" s="155">
        <v>4</v>
      </c>
      <c r="D82" s="155">
        <v>1</v>
      </c>
      <c r="E82" s="155">
        <v>1</v>
      </c>
      <c r="F82" s="155">
        <v>1</v>
      </c>
      <c r="G82" s="157">
        <v>442.42</v>
      </c>
      <c r="H82" s="158">
        <f t="shared" si="9"/>
        <v>3096.94</v>
      </c>
      <c r="I82" s="159">
        <v>12</v>
      </c>
      <c r="J82" s="158">
        <f t="shared" si="10"/>
        <v>258.07833333333332</v>
      </c>
    </row>
    <row r="83" spans="1:10" x14ac:dyDescent="0.25">
      <c r="A83" s="397" t="s">
        <v>349</v>
      </c>
      <c r="B83" s="398"/>
      <c r="C83" s="398"/>
      <c r="D83" s="398"/>
      <c r="E83" s="398"/>
      <c r="F83" s="398"/>
      <c r="G83" s="398"/>
      <c r="H83" s="398"/>
      <c r="I83" s="399"/>
      <c r="J83" s="181">
        <f>SUM(J76:J82)</f>
        <v>916.36999999999989</v>
      </c>
    </row>
    <row r="84" spans="1:10" ht="15" customHeight="1" x14ac:dyDescent="0.25">
      <c r="A84" s="397" t="s">
        <v>350</v>
      </c>
      <c r="B84" s="398"/>
      <c r="C84" s="398"/>
      <c r="D84" s="398"/>
      <c r="E84" s="399"/>
      <c r="F84" s="184">
        <f>F22</f>
        <v>10</v>
      </c>
      <c r="G84" s="400" t="s">
        <v>351</v>
      </c>
      <c r="H84" s="401"/>
      <c r="I84" s="402">
        <f>J83/F84</f>
        <v>91.636999999999986</v>
      </c>
      <c r="J84" s="403"/>
    </row>
    <row r="85" spans="1:10" x14ac:dyDescent="0.25">
      <c r="A85" s="392"/>
      <c r="B85" s="393"/>
      <c r="C85" s="393"/>
      <c r="D85" s="393"/>
      <c r="E85" s="393"/>
      <c r="F85" s="393"/>
      <c r="G85" s="393"/>
      <c r="H85" s="393"/>
      <c r="I85" s="393"/>
      <c r="J85" s="393"/>
    </row>
    <row r="86" spans="1:10" x14ac:dyDescent="0.25">
      <c r="A86" s="394" t="s">
        <v>290</v>
      </c>
      <c r="B86" s="394"/>
      <c r="C86" s="395" t="s">
        <v>246</v>
      </c>
      <c r="D86" s="395"/>
      <c r="E86" s="395"/>
      <c r="F86" s="395"/>
      <c r="G86" s="395" t="s">
        <v>225</v>
      </c>
      <c r="H86" s="396" t="s">
        <v>226</v>
      </c>
      <c r="I86" s="395" t="s">
        <v>227</v>
      </c>
      <c r="J86" s="396" t="s">
        <v>228</v>
      </c>
    </row>
    <row r="87" spans="1:10" x14ac:dyDescent="0.25">
      <c r="A87" s="394"/>
      <c r="B87" s="394"/>
      <c r="C87" s="180" t="s">
        <v>189</v>
      </c>
      <c r="D87" s="180" t="s">
        <v>190</v>
      </c>
      <c r="E87" s="180" t="s">
        <v>191</v>
      </c>
      <c r="F87" s="180" t="s">
        <v>219</v>
      </c>
      <c r="G87" s="395"/>
      <c r="H87" s="396"/>
      <c r="I87" s="395"/>
      <c r="J87" s="396"/>
    </row>
    <row r="88" spans="1:10" x14ac:dyDescent="0.25">
      <c r="A88" s="155" t="s">
        <v>291</v>
      </c>
      <c r="B88" s="155" t="s">
        <v>2</v>
      </c>
      <c r="C88" s="155">
        <v>4</v>
      </c>
      <c r="D88" s="155">
        <v>2</v>
      </c>
      <c r="E88" s="155">
        <v>2</v>
      </c>
      <c r="F88" s="155">
        <v>2</v>
      </c>
      <c r="G88" s="157">
        <v>7.8</v>
      </c>
      <c r="H88" s="158">
        <f t="shared" ref="H88:H104" si="11">SUM(C88:F88)*G88</f>
        <v>78</v>
      </c>
      <c r="I88" s="159">
        <v>12</v>
      </c>
      <c r="J88" s="158">
        <f t="shared" ref="J88:J104" si="12">H88/I88</f>
        <v>6.5</v>
      </c>
    </row>
    <row r="89" spans="1:10" x14ac:dyDescent="0.25">
      <c r="A89" s="155" t="s">
        <v>292</v>
      </c>
      <c r="B89" s="155" t="s">
        <v>2</v>
      </c>
      <c r="C89" s="155">
        <v>4</v>
      </c>
      <c r="D89" s="155">
        <v>1</v>
      </c>
      <c r="E89" s="155">
        <v>1</v>
      </c>
      <c r="F89" s="155">
        <v>1</v>
      </c>
      <c r="G89" s="157">
        <v>1100</v>
      </c>
      <c r="H89" s="158">
        <f t="shared" si="11"/>
        <v>7700</v>
      </c>
      <c r="I89" s="159">
        <v>12</v>
      </c>
      <c r="J89" s="158">
        <f t="shared" si="12"/>
        <v>641.66666666666663</v>
      </c>
    </row>
    <row r="90" spans="1:10" x14ac:dyDescent="0.25">
      <c r="A90" s="155" t="s">
        <v>293</v>
      </c>
      <c r="B90" s="155" t="s">
        <v>2</v>
      </c>
      <c r="C90" s="155">
        <v>7</v>
      </c>
      <c r="D90" s="155">
        <v>1</v>
      </c>
      <c r="E90" s="155">
        <v>1</v>
      </c>
      <c r="F90" s="155">
        <v>1</v>
      </c>
      <c r="G90" s="157">
        <v>1270</v>
      </c>
      <c r="H90" s="158">
        <f t="shared" si="11"/>
        <v>12700</v>
      </c>
      <c r="I90" s="159">
        <v>12</v>
      </c>
      <c r="J90" s="158">
        <f t="shared" si="12"/>
        <v>1058.3333333333333</v>
      </c>
    </row>
    <row r="91" spans="1:10" x14ac:dyDescent="0.25">
      <c r="A91" s="155" t="s">
        <v>137</v>
      </c>
      <c r="B91" s="155" t="s">
        <v>2</v>
      </c>
      <c r="C91" s="155">
        <v>2</v>
      </c>
      <c r="D91" s="155">
        <v>1</v>
      </c>
      <c r="E91" s="155">
        <v>1</v>
      </c>
      <c r="F91" s="155">
        <v>1</v>
      </c>
      <c r="G91" s="157">
        <v>222.45</v>
      </c>
      <c r="H91" s="158">
        <f t="shared" si="11"/>
        <v>1112.25</v>
      </c>
      <c r="I91" s="159">
        <v>12</v>
      </c>
      <c r="J91" s="158">
        <f t="shared" si="12"/>
        <v>92.6875</v>
      </c>
    </row>
    <row r="92" spans="1:10" x14ac:dyDescent="0.25">
      <c r="A92" s="156" t="s">
        <v>294</v>
      </c>
      <c r="B92" s="155" t="s">
        <v>2</v>
      </c>
      <c r="C92" s="155">
        <v>1</v>
      </c>
      <c r="D92" s="155">
        <v>1</v>
      </c>
      <c r="E92" s="155">
        <v>1</v>
      </c>
      <c r="F92" s="155">
        <v>1</v>
      </c>
      <c r="G92" s="157">
        <v>480</v>
      </c>
      <c r="H92" s="158">
        <f t="shared" si="11"/>
        <v>1920</v>
      </c>
      <c r="I92" s="159">
        <v>12</v>
      </c>
      <c r="J92" s="158">
        <f t="shared" si="12"/>
        <v>160</v>
      </c>
    </row>
    <row r="93" spans="1:10" x14ac:dyDescent="0.25">
      <c r="A93" s="155" t="s">
        <v>295</v>
      </c>
      <c r="B93" s="155" t="s">
        <v>2</v>
      </c>
      <c r="C93" s="155">
        <v>1</v>
      </c>
      <c r="D93" s="155">
        <v>1</v>
      </c>
      <c r="E93" s="155">
        <v>1</v>
      </c>
      <c r="F93" s="155">
        <v>1</v>
      </c>
      <c r="G93" s="157">
        <v>1149</v>
      </c>
      <c r="H93" s="158">
        <f t="shared" si="11"/>
        <v>4596</v>
      </c>
      <c r="I93" s="159">
        <v>12</v>
      </c>
      <c r="J93" s="158">
        <f t="shared" si="12"/>
        <v>383</v>
      </c>
    </row>
    <row r="94" spans="1:10" x14ac:dyDescent="0.25">
      <c r="A94" s="155" t="s">
        <v>296</v>
      </c>
      <c r="B94" s="155" t="s">
        <v>2</v>
      </c>
      <c r="C94" s="155">
        <v>1</v>
      </c>
      <c r="D94" s="155">
        <v>1</v>
      </c>
      <c r="E94" s="155">
        <v>1</v>
      </c>
      <c r="F94" s="155">
        <v>1</v>
      </c>
      <c r="G94" s="157">
        <v>246</v>
      </c>
      <c r="H94" s="158">
        <f t="shared" si="11"/>
        <v>984</v>
      </c>
      <c r="I94" s="159">
        <v>12</v>
      </c>
      <c r="J94" s="158">
        <f t="shared" si="12"/>
        <v>82</v>
      </c>
    </row>
    <row r="95" spans="1:10" x14ac:dyDescent="0.25">
      <c r="A95" s="155" t="s">
        <v>297</v>
      </c>
      <c r="B95" s="155" t="s">
        <v>2</v>
      </c>
      <c r="C95" s="155">
        <v>1</v>
      </c>
      <c r="D95" s="155">
        <v>1</v>
      </c>
      <c r="E95" s="155">
        <v>1</v>
      </c>
      <c r="F95" s="155">
        <v>1</v>
      </c>
      <c r="G95" s="157">
        <v>280</v>
      </c>
      <c r="H95" s="158">
        <f t="shared" si="11"/>
        <v>1120</v>
      </c>
      <c r="I95" s="159">
        <v>12</v>
      </c>
      <c r="J95" s="158">
        <f t="shared" si="12"/>
        <v>93.333333333333329</v>
      </c>
    </row>
    <row r="96" spans="1:10" x14ac:dyDescent="0.25">
      <c r="A96" s="155" t="s">
        <v>298</v>
      </c>
      <c r="B96" s="155" t="s">
        <v>2</v>
      </c>
      <c r="C96" s="155">
        <v>2</v>
      </c>
      <c r="D96" s="155">
        <v>1</v>
      </c>
      <c r="E96" s="155">
        <v>1</v>
      </c>
      <c r="F96" s="155">
        <v>1</v>
      </c>
      <c r="G96" s="157">
        <v>43.05</v>
      </c>
      <c r="H96" s="158">
        <f t="shared" si="11"/>
        <v>215.25</v>
      </c>
      <c r="I96" s="159">
        <v>12</v>
      </c>
      <c r="J96" s="158">
        <f t="shared" si="12"/>
        <v>17.9375</v>
      </c>
    </row>
    <row r="97" spans="1:10" x14ac:dyDescent="0.25">
      <c r="A97" s="155" t="s">
        <v>299</v>
      </c>
      <c r="B97" s="155" t="s">
        <v>2</v>
      </c>
      <c r="C97" s="155">
        <v>4</v>
      </c>
      <c r="D97" s="155">
        <v>1</v>
      </c>
      <c r="E97" s="155">
        <v>2</v>
      </c>
      <c r="F97" s="155">
        <v>1</v>
      </c>
      <c r="G97" s="157">
        <v>53.37</v>
      </c>
      <c r="H97" s="158">
        <f t="shared" si="11"/>
        <v>426.96</v>
      </c>
      <c r="I97" s="159">
        <v>12</v>
      </c>
      <c r="J97" s="158">
        <f t="shared" si="12"/>
        <v>35.58</v>
      </c>
    </row>
    <row r="98" spans="1:10" x14ac:dyDescent="0.25">
      <c r="A98" s="155" t="s">
        <v>300</v>
      </c>
      <c r="B98" s="155" t="s">
        <v>2</v>
      </c>
      <c r="C98" s="155">
        <v>4</v>
      </c>
      <c r="D98" s="155">
        <v>1</v>
      </c>
      <c r="E98" s="155">
        <v>2</v>
      </c>
      <c r="F98" s="155">
        <v>1</v>
      </c>
      <c r="G98" s="157">
        <v>83.85</v>
      </c>
      <c r="H98" s="158">
        <f t="shared" si="11"/>
        <v>670.8</v>
      </c>
      <c r="I98" s="159">
        <v>12</v>
      </c>
      <c r="J98" s="158">
        <f t="shared" si="12"/>
        <v>55.9</v>
      </c>
    </row>
    <row r="99" spans="1:10" ht="15.75" x14ac:dyDescent="0.25">
      <c r="A99" s="155" t="s">
        <v>301</v>
      </c>
      <c r="B99" s="155" t="s">
        <v>2</v>
      </c>
      <c r="C99" s="155">
        <v>2</v>
      </c>
      <c r="D99" s="155">
        <v>1</v>
      </c>
      <c r="E99" s="155">
        <v>1</v>
      </c>
      <c r="F99" s="183">
        <v>1</v>
      </c>
      <c r="G99" s="157">
        <v>11.2</v>
      </c>
      <c r="H99" s="158">
        <f t="shared" si="11"/>
        <v>56</v>
      </c>
      <c r="I99" s="159">
        <v>12</v>
      </c>
      <c r="J99" s="158">
        <f t="shared" si="12"/>
        <v>4.666666666666667</v>
      </c>
    </row>
    <row r="100" spans="1:10" ht="15.75" x14ac:dyDescent="0.25">
      <c r="A100" s="156" t="s">
        <v>302</v>
      </c>
      <c r="B100" s="155" t="s">
        <v>303</v>
      </c>
      <c r="C100" s="155">
        <v>2</v>
      </c>
      <c r="D100" s="155">
        <v>1</v>
      </c>
      <c r="E100" s="155">
        <v>1</v>
      </c>
      <c r="F100" s="183">
        <v>1</v>
      </c>
      <c r="G100" s="157">
        <v>31.5</v>
      </c>
      <c r="H100" s="158">
        <f t="shared" si="11"/>
        <v>157.5</v>
      </c>
      <c r="I100" s="159">
        <v>12</v>
      </c>
      <c r="J100" s="158">
        <f t="shared" si="12"/>
        <v>13.125</v>
      </c>
    </row>
    <row r="101" spans="1:10" ht="15.75" x14ac:dyDescent="0.25">
      <c r="A101" s="155" t="s">
        <v>304</v>
      </c>
      <c r="B101" s="155" t="s">
        <v>2</v>
      </c>
      <c r="C101" s="155">
        <v>2</v>
      </c>
      <c r="D101" s="155">
        <v>1</v>
      </c>
      <c r="E101" s="155">
        <v>1</v>
      </c>
      <c r="F101" s="183">
        <v>1</v>
      </c>
      <c r="G101" s="157">
        <v>22.63</v>
      </c>
      <c r="H101" s="158">
        <f t="shared" si="11"/>
        <v>113.14999999999999</v>
      </c>
      <c r="I101" s="159">
        <v>12</v>
      </c>
      <c r="J101" s="158">
        <f t="shared" si="12"/>
        <v>9.4291666666666654</v>
      </c>
    </row>
    <row r="102" spans="1:10" ht="15.75" x14ac:dyDescent="0.25">
      <c r="A102" s="155" t="s">
        <v>305</v>
      </c>
      <c r="B102" s="155" t="s">
        <v>2</v>
      </c>
      <c r="C102" s="155">
        <v>2</v>
      </c>
      <c r="D102" s="155">
        <v>1</v>
      </c>
      <c r="E102" s="155">
        <v>1</v>
      </c>
      <c r="F102" s="183">
        <v>1</v>
      </c>
      <c r="G102" s="157">
        <v>19.899999999999999</v>
      </c>
      <c r="H102" s="158">
        <f t="shared" si="11"/>
        <v>99.5</v>
      </c>
      <c r="I102" s="159">
        <v>12</v>
      </c>
      <c r="J102" s="158">
        <f t="shared" si="12"/>
        <v>8.2916666666666661</v>
      </c>
    </row>
    <row r="103" spans="1:10" ht="15.75" x14ac:dyDescent="0.25">
      <c r="A103" s="155" t="s">
        <v>306</v>
      </c>
      <c r="B103" s="155" t="s">
        <v>2</v>
      </c>
      <c r="C103" s="155">
        <v>2</v>
      </c>
      <c r="D103" s="155">
        <v>1</v>
      </c>
      <c r="E103" s="155">
        <v>1</v>
      </c>
      <c r="F103" s="183">
        <v>1</v>
      </c>
      <c r="G103" s="157">
        <v>40.57</v>
      </c>
      <c r="H103" s="158">
        <f t="shared" si="11"/>
        <v>202.85</v>
      </c>
      <c r="I103" s="159">
        <v>12</v>
      </c>
      <c r="J103" s="158">
        <f t="shared" si="12"/>
        <v>16.904166666666665</v>
      </c>
    </row>
    <row r="104" spans="1:10" ht="15.75" x14ac:dyDescent="0.25">
      <c r="A104" s="155" t="s">
        <v>307</v>
      </c>
      <c r="B104" s="155" t="s">
        <v>2</v>
      </c>
      <c r="C104" s="155">
        <v>2</v>
      </c>
      <c r="D104" s="155">
        <v>1</v>
      </c>
      <c r="E104" s="155">
        <v>1</v>
      </c>
      <c r="F104" s="183">
        <v>1</v>
      </c>
      <c r="G104" s="157">
        <v>97.2</v>
      </c>
      <c r="H104" s="158">
        <f t="shared" si="11"/>
        <v>486</v>
      </c>
      <c r="I104" s="159">
        <v>12</v>
      </c>
      <c r="J104" s="158">
        <f t="shared" si="12"/>
        <v>40.5</v>
      </c>
    </row>
    <row r="105" spans="1:10" x14ac:dyDescent="0.25">
      <c r="A105" s="397" t="s">
        <v>349</v>
      </c>
      <c r="B105" s="398"/>
      <c r="C105" s="398"/>
      <c r="D105" s="398"/>
      <c r="E105" s="398"/>
      <c r="F105" s="398"/>
      <c r="G105" s="398"/>
      <c r="H105" s="398"/>
      <c r="I105" s="399"/>
      <c r="J105" s="181">
        <f>SUM(J88:J104)</f>
        <v>2719.855</v>
      </c>
    </row>
    <row r="106" spans="1:10" ht="15" customHeight="1" x14ac:dyDescent="0.25">
      <c r="A106" s="397" t="s">
        <v>350</v>
      </c>
      <c r="B106" s="398"/>
      <c r="C106" s="398"/>
      <c r="D106" s="398"/>
      <c r="E106" s="399"/>
      <c r="F106" s="184">
        <f>F22</f>
        <v>10</v>
      </c>
      <c r="G106" s="400" t="s">
        <v>351</v>
      </c>
      <c r="H106" s="401"/>
      <c r="I106" s="402">
        <f>J105/F106</f>
        <v>271.9855</v>
      </c>
      <c r="J106" s="403"/>
    </row>
    <row r="107" spans="1:10" ht="15" customHeight="1" x14ac:dyDescent="0.25">
      <c r="A107" s="392"/>
      <c r="B107" s="393"/>
      <c r="C107" s="393"/>
      <c r="D107" s="393"/>
      <c r="E107" s="393"/>
      <c r="F107" s="393"/>
      <c r="G107" s="393"/>
      <c r="H107" s="393"/>
      <c r="I107" s="393"/>
      <c r="J107" s="393"/>
    </row>
    <row r="108" spans="1:10" x14ac:dyDescent="0.25">
      <c r="A108" s="394" t="s">
        <v>308</v>
      </c>
      <c r="B108" s="394"/>
      <c r="C108" s="395" t="s">
        <v>246</v>
      </c>
      <c r="D108" s="395"/>
      <c r="E108" s="395"/>
      <c r="F108" s="395"/>
      <c r="G108" s="395" t="s">
        <v>225</v>
      </c>
      <c r="H108" s="396" t="s">
        <v>226</v>
      </c>
      <c r="I108" s="395" t="s">
        <v>227</v>
      </c>
      <c r="J108" s="396" t="s">
        <v>228</v>
      </c>
    </row>
    <row r="109" spans="1:10" x14ac:dyDescent="0.25">
      <c r="A109" s="394"/>
      <c r="B109" s="394"/>
      <c r="C109" s="180" t="s">
        <v>189</v>
      </c>
      <c r="D109" s="180" t="s">
        <v>190</v>
      </c>
      <c r="E109" s="180" t="s">
        <v>191</v>
      </c>
      <c r="F109" s="180" t="s">
        <v>219</v>
      </c>
      <c r="G109" s="395"/>
      <c r="H109" s="396"/>
      <c r="I109" s="395"/>
      <c r="J109" s="396"/>
    </row>
    <row r="110" spans="1:10" x14ac:dyDescent="0.25">
      <c r="A110" s="156" t="s">
        <v>309</v>
      </c>
      <c r="B110" s="156" t="s">
        <v>2</v>
      </c>
      <c r="C110" s="155">
        <v>84</v>
      </c>
      <c r="D110" s="155">
        <v>24</v>
      </c>
      <c r="E110" s="155">
        <v>24</v>
      </c>
      <c r="F110" s="155">
        <v>24</v>
      </c>
      <c r="G110" s="164">
        <v>10</v>
      </c>
      <c r="H110" s="158">
        <f t="shared" ref="H110:H141" si="13">SUM(C110:F110)*G110</f>
        <v>1560</v>
      </c>
      <c r="I110" s="159">
        <v>12</v>
      </c>
      <c r="J110" s="158">
        <f t="shared" ref="J110:J141" si="14">H110/I110</f>
        <v>130</v>
      </c>
    </row>
    <row r="111" spans="1:10" x14ac:dyDescent="0.25">
      <c r="A111" s="156" t="s">
        <v>310</v>
      </c>
      <c r="B111" s="156" t="s">
        <v>2</v>
      </c>
      <c r="C111" s="155">
        <v>480</v>
      </c>
      <c r="D111" s="155">
        <v>120</v>
      </c>
      <c r="E111" s="155">
        <v>120</v>
      </c>
      <c r="F111" s="155">
        <v>120</v>
      </c>
      <c r="G111" s="157">
        <v>2.5</v>
      </c>
      <c r="H111" s="158">
        <f t="shared" si="13"/>
        <v>2100</v>
      </c>
      <c r="I111" s="159">
        <v>12</v>
      </c>
      <c r="J111" s="158">
        <f t="shared" si="14"/>
        <v>175</v>
      </c>
    </row>
    <row r="112" spans="1:10" x14ac:dyDescent="0.25">
      <c r="A112" s="156" t="s">
        <v>311</v>
      </c>
      <c r="B112" s="156" t="s">
        <v>2</v>
      </c>
      <c r="C112" s="155">
        <v>240</v>
      </c>
      <c r="D112" s="155">
        <v>60</v>
      </c>
      <c r="E112" s="155">
        <v>60</v>
      </c>
      <c r="F112" s="155">
        <v>60</v>
      </c>
      <c r="G112" s="157">
        <v>2.5</v>
      </c>
      <c r="H112" s="158">
        <f t="shared" si="13"/>
        <v>1050</v>
      </c>
      <c r="I112" s="159">
        <v>12</v>
      </c>
      <c r="J112" s="158">
        <f t="shared" si="14"/>
        <v>87.5</v>
      </c>
    </row>
    <row r="113" spans="1:10" ht="15.75" x14ac:dyDescent="0.25">
      <c r="A113" s="156" t="s">
        <v>312</v>
      </c>
      <c r="B113" s="155" t="s">
        <v>2</v>
      </c>
      <c r="C113" s="155">
        <v>16</v>
      </c>
      <c r="D113" s="155">
        <v>4</v>
      </c>
      <c r="E113" s="155">
        <v>4</v>
      </c>
      <c r="F113" s="185">
        <v>4</v>
      </c>
      <c r="G113" s="157">
        <v>7.39</v>
      </c>
      <c r="H113" s="158">
        <f t="shared" si="13"/>
        <v>206.92</v>
      </c>
      <c r="I113" s="159">
        <v>12</v>
      </c>
      <c r="J113" s="158">
        <f t="shared" si="14"/>
        <v>17.243333333333332</v>
      </c>
    </row>
    <row r="114" spans="1:10" x14ac:dyDescent="0.25">
      <c r="A114" s="155" t="s">
        <v>313</v>
      </c>
      <c r="B114" s="155" t="s">
        <v>2</v>
      </c>
      <c r="C114" s="155">
        <v>6</v>
      </c>
      <c r="D114" s="155">
        <v>2</v>
      </c>
      <c r="E114" s="155">
        <v>2</v>
      </c>
      <c r="F114" s="156">
        <v>2</v>
      </c>
      <c r="G114" s="157">
        <v>40.5</v>
      </c>
      <c r="H114" s="158">
        <f t="shared" si="13"/>
        <v>486</v>
      </c>
      <c r="I114" s="159">
        <v>12</v>
      </c>
      <c r="J114" s="158">
        <f t="shared" si="14"/>
        <v>40.5</v>
      </c>
    </row>
    <row r="115" spans="1:10" x14ac:dyDescent="0.25">
      <c r="A115" s="156" t="s">
        <v>314</v>
      </c>
      <c r="B115" s="155" t="s">
        <v>2</v>
      </c>
      <c r="C115" s="155">
        <v>12</v>
      </c>
      <c r="D115" s="155">
        <v>4</v>
      </c>
      <c r="E115" s="155">
        <v>4</v>
      </c>
      <c r="F115" s="156">
        <v>4</v>
      </c>
      <c r="G115" s="165">
        <v>21.2</v>
      </c>
      <c r="H115" s="158">
        <f t="shared" si="13"/>
        <v>508.79999999999995</v>
      </c>
      <c r="I115" s="159">
        <v>12</v>
      </c>
      <c r="J115" s="158">
        <f t="shared" si="14"/>
        <v>42.4</v>
      </c>
    </row>
    <row r="116" spans="1:10" ht="15.75" x14ac:dyDescent="0.25">
      <c r="A116" s="155" t="s">
        <v>315</v>
      </c>
      <c r="B116" s="155" t="s">
        <v>2</v>
      </c>
      <c r="C116" s="155">
        <v>8</v>
      </c>
      <c r="D116" s="155">
        <v>2</v>
      </c>
      <c r="E116" s="155">
        <v>2</v>
      </c>
      <c r="F116" s="185">
        <v>2</v>
      </c>
      <c r="G116" s="157">
        <v>15</v>
      </c>
      <c r="H116" s="158">
        <f t="shared" si="13"/>
        <v>210</v>
      </c>
      <c r="I116" s="159">
        <v>12</v>
      </c>
      <c r="J116" s="158">
        <f t="shared" si="14"/>
        <v>17.5</v>
      </c>
    </row>
    <row r="117" spans="1:10" ht="15.75" x14ac:dyDescent="0.25">
      <c r="A117" s="155" t="s">
        <v>316</v>
      </c>
      <c r="B117" s="155" t="s">
        <v>2</v>
      </c>
      <c r="C117" s="155">
        <v>8</v>
      </c>
      <c r="D117" s="155">
        <v>2</v>
      </c>
      <c r="E117" s="155">
        <v>2</v>
      </c>
      <c r="F117" s="185">
        <v>2</v>
      </c>
      <c r="G117" s="157">
        <v>35</v>
      </c>
      <c r="H117" s="158">
        <f t="shared" si="13"/>
        <v>490</v>
      </c>
      <c r="I117" s="159">
        <v>12</v>
      </c>
      <c r="J117" s="158">
        <f t="shared" si="14"/>
        <v>40.833333333333336</v>
      </c>
    </row>
    <row r="118" spans="1:10" ht="15.75" x14ac:dyDescent="0.25">
      <c r="A118" s="155" t="s">
        <v>317</v>
      </c>
      <c r="B118" s="155" t="s">
        <v>2</v>
      </c>
      <c r="C118" s="155">
        <v>48</v>
      </c>
      <c r="D118" s="155">
        <v>24</v>
      </c>
      <c r="E118" s="155">
        <v>24</v>
      </c>
      <c r="F118" s="185">
        <v>24</v>
      </c>
      <c r="G118" s="157">
        <v>2.65</v>
      </c>
      <c r="H118" s="158">
        <f t="shared" si="13"/>
        <v>318</v>
      </c>
      <c r="I118" s="159">
        <v>12</v>
      </c>
      <c r="J118" s="158">
        <f t="shared" si="14"/>
        <v>26.5</v>
      </c>
    </row>
    <row r="119" spans="1:10" ht="15.75" x14ac:dyDescent="0.25">
      <c r="A119" s="155" t="s">
        <v>318</v>
      </c>
      <c r="B119" s="155" t="s">
        <v>2</v>
      </c>
      <c r="C119" s="155">
        <v>48</v>
      </c>
      <c r="D119" s="155">
        <v>24</v>
      </c>
      <c r="E119" s="155">
        <v>24</v>
      </c>
      <c r="F119" s="185">
        <v>24</v>
      </c>
      <c r="G119" s="157">
        <v>1.57</v>
      </c>
      <c r="H119" s="158">
        <f t="shared" si="13"/>
        <v>188.4</v>
      </c>
      <c r="I119" s="159">
        <v>12</v>
      </c>
      <c r="J119" s="158">
        <f t="shared" si="14"/>
        <v>15.700000000000001</v>
      </c>
    </row>
    <row r="120" spans="1:10" x14ac:dyDescent="0.25">
      <c r="A120" s="155" t="s">
        <v>319</v>
      </c>
      <c r="B120" s="155" t="s">
        <v>2</v>
      </c>
      <c r="C120" s="155">
        <v>4</v>
      </c>
      <c r="D120" s="155">
        <v>1</v>
      </c>
      <c r="E120" s="155">
        <v>1</v>
      </c>
      <c r="F120" s="156">
        <v>1</v>
      </c>
      <c r="G120" s="157">
        <v>21.8</v>
      </c>
      <c r="H120" s="158">
        <f t="shared" si="13"/>
        <v>152.6</v>
      </c>
      <c r="I120" s="159">
        <v>12</v>
      </c>
      <c r="J120" s="158">
        <f t="shared" si="14"/>
        <v>12.716666666666667</v>
      </c>
    </row>
    <row r="121" spans="1:10" ht="15.75" x14ac:dyDescent="0.25">
      <c r="A121" s="155" t="s">
        <v>320</v>
      </c>
      <c r="B121" s="155" t="s">
        <v>2</v>
      </c>
      <c r="C121" s="155">
        <v>8</v>
      </c>
      <c r="D121" s="155">
        <v>2</v>
      </c>
      <c r="E121" s="155">
        <v>2</v>
      </c>
      <c r="F121" s="185">
        <v>2</v>
      </c>
      <c r="G121" s="157">
        <v>25.5</v>
      </c>
      <c r="H121" s="158">
        <f t="shared" si="13"/>
        <v>357</v>
      </c>
      <c r="I121" s="159">
        <v>12</v>
      </c>
      <c r="J121" s="158">
        <f t="shared" si="14"/>
        <v>29.75</v>
      </c>
    </row>
    <row r="122" spans="1:10" x14ac:dyDescent="0.25">
      <c r="A122" s="155" t="s">
        <v>321</v>
      </c>
      <c r="B122" s="155" t="s">
        <v>2</v>
      </c>
      <c r="C122" s="155">
        <v>60</v>
      </c>
      <c r="D122" s="155">
        <v>60</v>
      </c>
      <c r="E122" s="155">
        <v>60</v>
      </c>
      <c r="F122" s="156">
        <v>60</v>
      </c>
      <c r="G122" s="157">
        <v>1.82</v>
      </c>
      <c r="H122" s="158">
        <f t="shared" si="13"/>
        <v>436.8</v>
      </c>
      <c r="I122" s="159">
        <v>12</v>
      </c>
      <c r="J122" s="158">
        <f t="shared" si="14"/>
        <v>36.4</v>
      </c>
    </row>
    <row r="123" spans="1:10" x14ac:dyDescent="0.25">
      <c r="A123" s="155" t="s">
        <v>136</v>
      </c>
      <c r="B123" s="155" t="s">
        <v>2</v>
      </c>
      <c r="C123" s="155">
        <v>21</v>
      </c>
      <c r="D123" s="155">
        <v>3</v>
      </c>
      <c r="E123" s="155">
        <v>3</v>
      </c>
      <c r="F123" s="156">
        <v>3</v>
      </c>
      <c r="G123" s="157">
        <v>3.95</v>
      </c>
      <c r="H123" s="158">
        <f t="shared" si="13"/>
        <v>118.5</v>
      </c>
      <c r="I123" s="159">
        <v>12</v>
      </c>
      <c r="J123" s="158">
        <f t="shared" si="14"/>
        <v>9.875</v>
      </c>
    </row>
    <row r="124" spans="1:10" x14ac:dyDescent="0.25">
      <c r="A124" s="155" t="s">
        <v>322</v>
      </c>
      <c r="B124" s="155" t="s">
        <v>2</v>
      </c>
      <c r="C124" s="155">
        <v>21</v>
      </c>
      <c r="D124" s="155">
        <v>3</v>
      </c>
      <c r="E124" s="155">
        <v>3</v>
      </c>
      <c r="F124" s="156">
        <v>3</v>
      </c>
      <c r="G124" s="157">
        <v>3.18</v>
      </c>
      <c r="H124" s="158">
        <f t="shared" si="13"/>
        <v>95.4</v>
      </c>
      <c r="I124" s="159">
        <v>12</v>
      </c>
      <c r="J124" s="158">
        <f t="shared" si="14"/>
        <v>7.95</v>
      </c>
    </row>
    <row r="125" spans="1:10" x14ac:dyDescent="0.25">
      <c r="A125" s="156" t="s">
        <v>323</v>
      </c>
      <c r="B125" s="155" t="s">
        <v>2</v>
      </c>
      <c r="C125" s="155">
        <v>18</v>
      </c>
      <c r="D125" s="155">
        <v>6</v>
      </c>
      <c r="E125" s="155">
        <v>6</v>
      </c>
      <c r="F125" s="156">
        <v>6</v>
      </c>
      <c r="G125" s="157">
        <v>5.41</v>
      </c>
      <c r="H125" s="158">
        <f t="shared" si="13"/>
        <v>194.76</v>
      </c>
      <c r="I125" s="159">
        <v>12</v>
      </c>
      <c r="J125" s="158">
        <f t="shared" si="14"/>
        <v>16.23</v>
      </c>
    </row>
    <row r="126" spans="1:10" x14ac:dyDescent="0.25">
      <c r="A126" s="155" t="s">
        <v>324</v>
      </c>
      <c r="B126" s="155" t="s">
        <v>2</v>
      </c>
      <c r="C126" s="155">
        <v>8</v>
      </c>
      <c r="D126" s="155">
        <v>2</v>
      </c>
      <c r="E126" s="155">
        <v>2</v>
      </c>
      <c r="F126" s="156">
        <v>2</v>
      </c>
      <c r="G126" s="157">
        <v>5</v>
      </c>
      <c r="H126" s="158">
        <f t="shared" si="13"/>
        <v>70</v>
      </c>
      <c r="I126" s="159">
        <v>12</v>
      </c>
      <c r="J126" s="158">
        <f t="shared" si="14"/>
        <v>5.833333333333333</v>
      </c>
    </row>
    <row r="127" spans="1:10" x14ac:dyDescent="0.25">
      <c r="A127" s="155" t="s">
        <v>325</v>
      </c>
      <c r="B127" s="155" t="s">
        <v>2</v>
      </c>
      <c r="C127" s="155">
        <v>2</v>
      </c>
      <c r="D127" s="155">
        <v>1</v>
      </c>
      <c r="E127" s="155">
        <v>1</v>
      </c>
      <c r="F127" s="156">
        <v>1</v>
      </c>
      <c r="G127" s="157">
        <v>17</v>
      </c>
      <c r="H127" s="158">
        <f t="shared" si="13"/>
        <v>85</v>
      </c>
      <c r="I127" s="159">
        <v>12</v>
      </c>
      <c r="J127" s="158">
        <f t="shared" si="14"/>
        <v>7.083333333333333</v>
      </c>
    </row>
    <row r="128" spans="1:10" x14ac:dyDescent="0.25">
      <c r="A128" s="155" t="s">
        <v>326</v>
      </c>
      <c r="B128" s="155" t="s">
        <v>327</v>
      </c>
      <c r="C128" s="155">
        <v>2</v>
      </c>
      <c r="D128" s="155">
        <v>1</v>
      </c>
      <c r="E128" s="155">
        <v>1</v>
      </c>
      <c r="F128" s="156">
        <v>1</v>
      </c>
      <c r="G128" s="157">
        <v>10.45</v>
      </c>
      <c r="H128" s="158">
        <f t="shared" si="13"/>
        <v>52.25</v>
      </c>
      <c r="I128" s="159">
        <v>12</v>
      </c>
      <c r="J128" s="158">
        <f t="shared" si="14"/>
        <v>4.354166666666667</v>
      </c>
    </row>
    <row r="129" spans="1:10" x14ac:dyDescent="0.25">
      <c r="A129" s="156" t="s">
        <v>328</v>
      </c>
      <c r="B129" s="155" t="s">
        <v>329</v>
      </c>
      <c r="C129" s="155">
        <v>2</v>
      </c>
      <c r="D129" s="155">
        <v>1</v>
      </c>
      <c r="E129" s="155">
        <v>1</v>
      </c>
      <c r="F129" s="156">
        <v>1</v>
      </c>
      <c r="G129" s="157">
        <v>9.24</v>
      </c>
      <c r="H129" s="158">
        <f t="shared" si="13"/>
        <v>46.2</v>
      </c>
      <c r="I129" s="159">
        <v>12</v>
      </c>
      <c r="J129" s="158">
        <f t="shared" si="14"/>
        <v>3.85</v>
      </c>
    </row>
    <row r="130" spans="1:10" ht="15.75" x14ac:dyDescent="0.25">
      <c r="A130" s="155" t="s">
        <v>330</v>
      </c>
      <c r="B130" s="155" t="s">
        <v>2</v>
      </c>
      <c r="C130" s="155">
        <v>4</v>
      </c>
      <c r="D130" s="155">
        <v>2</v>
      </c>
      <c r="E130" s="155">
        <v>2</v>
      </c>
      <c r="F130" s="185">
        <v>2</v>
      </c>
      <c r="G130" s="157">
        <v>18.84</v>
      </c>
      <c r="H130" s="158">
        <f t="shared" si="13"/>
        <v>188.4</v>
      </c>
      <c r="I130" s="159">
        <v>12</v>
      </c>
      <c r="J130" s="158">
        <f t="shared" si="14"/>
        <v>15.700000000000001</v>
      </c>
    </row>
    <row r="131" spans="1:10" ht="45" x14ac:dyDescent="0.25">
      <c r="A131" s="166" t="s">
        <v>331</v>
      </c>
      <c r="B131" s="155" t="s">
        <v>2</v>
      </c>
      <c r="C131" s="155">
        <v>18</v>
      </c>
      <c r="D131" s="155">
        <v>3</v>
      </c>
      <c r="E131" s="155">
        <v>3</v>
      </c>
      <c r="F131" s="156">
        <v>3</v>
      </c>
      <c r="G131" s="157">
        <v>5</v>
      </c>
      <c r="H131" s="158">
        <f t="shared" si="13"/>
        <v>135</v>
      </c>
      <c r="I131" s="159">
        <v>12</v>
      </c>
      <c r="J131" s="158">
        <f t="shared" si="14"/>
        <v>11.25</v>
      </c>
    </row>
    <row r="132" spans="1:10" ht="15.75" x14ac:dyDescent="0.25">
      <c r="A132" s="156" t="s">
        <v>332</v>
      </c>
      <c r="B132" s="155" t="s">
        <v>329</v>
      </c>
      <c r="C132" s="155">
        <v>48</v>
      </c>
      <c r="D132" s="155">
        <v>24</v>
      </c>
      <c r="E132" s="155">
        <v>24</v>
      </c>
      <c r="F132" s="185">
        <v>24</v>
      </c>
      <c r="G132" s="157">
        <v>18.16</v>
      </c>
      <c r="H132" s="158">
        <f t="shared" si="13"/>
        <v>2179.1999999999998</v>
      </c>
      <c r="I132" s="159">
        <v>12</v>
      </c>
      <c r="J132" s="158">
        <f t="shared" si="14"/>
        <v>181.6</v>
      </c>
    </row>
    <row r="133" spans="1:10" x14ac:dyDescent="0.25">
      <c r="A133" s="156" t="s">
        <v>333</v>
      </c>
      <c r="B133" s="155" t="s">
        <v>329</v>
      </c>
      <c r="C133" s="155">
        <v>36</v>
      </c>
      <c r="D133" s="155">
        <v>12</v>
      </c>
      <c r="E133" s="155">
        <v>12</v>
      </c>
      <c r="F133" s="156">
        <v>12</v>
      </c>
      <c r="G133" s="157">
        <v>14.98</v>
      </c>
      <c r="H133" s="158">
        <f t="shared" si="13"/>
        <v>1078.56</v>
      </c>
      <c r="I133" s="159">
        <v>12</v>
      </c>
      <c r="J133" s="158">
        <f t="shared" si="14"/>
        <v>89.88</v>
      </c>
    </row>
    <row r="134" spans="1:10" x14ac:dyDescent="0.25">
      <c r="A134" s="156" t="s">
        <v>334</v>
      </c>
      <c r="B134" s="155" t="s">
        <v>329</v>
      </c>
      <c r="C134" s="155">
        <v>36</v>
      </c>
      <c r="D134" s="155">
        <v>12</v>
      </c>
      <c r="E134" s="155">
        <v>12</v>
      </c>
      <c r="F134" s="156">
        <v>12</v>
      </c>
      <c r="G134" s="157">
        <v>13.99</v>
      </c>
      <c r="H134" s="158">
        <f t="shared" si="13"/>
        <v>1007.28</v>
      </c>
      <c r="I134" s="159">
        <v>12</v>
      </c>
      <c r="J134" s="158">
        <f t="shared" si="14"/>
        <v>83.94</v>
      </c>
    </row>
    <row r="135" spans="1:10" ht="15.75" x14ac:dyDescent="0.25">
      <c r="A135" s="156" t="s">
        <v>335</v>
      </c>
      <c r="B135" s="155" t="s">
        <v>329</v>
      </c>
      <c r="C135" s="155">
        <v>48</v>
      </c>
      <c r="D135" s="155">
        <v>24</v>
      </c>
      <c r="E135" s="155">
        <v>24</v>
      </c>
      <c r="F135" s="185">
        <v>24</v>
      </c>
      <c r="G135" s="157">
        <v>10</v>
      </c>
      <c r="H135" s="158">
        <f t="shared" si="13"/>
        <v>1200</v>
      </c>
      <c r="I135" s="159">
        <v>12</v>
      </c>
      <c r="J135" s="158">
        <f t="shared" si="14"/>
        <v>100</v>
      </c>
    </row>
    <row r="136" spans="1:10" x14ac:dyDescent="0.25">
      <c r="A136" s="156" t="s">
        <v>336</v>
      </c>
      <c r="B136" s="155" t="s">
        <v>329</v>
      </c>
      <c r="C136" s="155">
        <v>36</v>
      </c>
      <c r="D136" s="155">
        <v>12</v>
      </c>
      <c r="E136" s="155">
        <v>12</v>
      </c>
      <c r="F136" s="156">
        <v>12</v>
      </c>
      <c r="G136" s="157">
        <v>13</v>
      </c>
      <c r="H136" s="158">
        <f t="shared" si="13"/>
        <v>936</v>
      </c>
      <c r="I136" s="159">
        <v>12</v>
      </c>
      <c r="J136" s="158">
        <f t="shared" si="14"/>
        <v>78</v>
      </c>
    </row>
    <row r="137" spans="1:10" x14ac:dyDescent="0.25">
      <c r="A137" s="156" t="s">
        <v>337</v>
      </c>
      <c r="B137" s="155" t="s">
        <v>329</v>
      </c>
      <c r="C137" s="155">
        <v>36</v>
      </c>
      <c r="D137" s="155">
        <v>12</v>
      </c>
      <c r="E137" s="155">
        <v>12</v>
      </c>
      <c r="F137" s="155">
        <v>12</v>
      </c>
      <c r="G137" s="157">
        <v>27.2</v>
      </c>
      <c r="H137" s="158">
        <f t="shared" si="13"/>
        <v>1958.3999999999999</v>
      </c>
      <c r="I137" s="159">
        <v>12</v>
      </c>
      <c r="J137" s="158">
        <f t="shared" si="14"/>
        <v>163.19999999999999</v>
      </c>
    </row>
    <row r="138" spans="1:10" x14ac:dyDescent="0.25">
      <c r="A138" s="156" t="s">
        <v>338</v>
      </c>
      <c r="B138" s="155" t="s">
        <v>2</v>
      </c>
      <c r="C138" s="155">
        <v>8</v>
      </c>
      <c r="D138" s="155">
        <v>2</v>
      </c>
      <c r="E138" s="155">
        <v>2</v>
      </c>
      <c r="F138" s="155">
        <v>2</v>
      </c>
      <c r="G138" s="157">
        <v>5.75</v>
      </c>
      <c r="H138" s="158">
        <f t="shared" si="13"/>
        <v>80.5</v>
      </c>
      <c r="I138" s="159">
        <v>12</v>
      </c>
      <c r="J138" s="158">
        <f t="shared" si="14"/>
        <v>6.708333333333333</v>
      </c>
    </row>
    <row r="139" spans="1:10" ht="45" x14ac:dyDescent="0.25">
      <c r="A139" s="167" t="s">
        <v>339</v>
      </c>
      <c r="B139" s="155" t="s">
        <v>2</v>
      </c>
      <c r="C139" s="155">
        <v>16</v>
      </c>
      <c r="D139" s="155">
        <v>4</v>
      </c>
      <c r="E139" s="155">
        <v>4</v>
      </c>
      <c r="F139" s="155">
        <v>4</v>
      </c>
      <c r="G139" s="168">
        <v>3.81</v>
      </c>
      <c r="H139" s="158">
        <f t="shared" si="13"/>
        <v>106.68</v>
      </c>
      <c r="I139" s="159">
        <v>12</v>
      </c>
      <c r="J139" s="158">
        <f t="shared" si="14"/>
        <v>8.89</v>
      </c>
    </row>
    <row r="140" spans="1:10" ht="15.75" x14ac:dyDescent="0.25">
      <c r="A140" s="169" t="s">
        <v>340</v>
      </c>
      <c r="B140" s="155" t="s">
        <v>2</v>
      </c>
      <c r="C140" s="155">
        <v>24</v>
      </c>
      <c r="D140" s="155">
        <v>12</v>
      </c>
      <c r="E140" s="155">
        <v>12</v>
      </c>
      <c r="F140" s="182">
        <v>12</v>
      </c>
      <c r="G140" s="168">
        <v>9.9499999999999993</v>
      </c>
      <c r="H140" s="158">
        <f t="shared" si="13"/>
        <v>597</v>
      </c>
      <c r="I140" s="159">
        <v>12</v>
      </c>
      <c r="J140" s="158">
        <f t="shared" si="14"/>
        <v>49.75</v>
      </c>
    </row>
    <row r="141" spans="1:10" x14ac:dyDescent="0.25">
      <c r="A141" s="169" t="s">
        <v>341</v>
      </c>
      <c r="B141" s="155" t="s">
        <v>2</v>
      </c>
      <c r="C141" s="155">
        <v>4</v>
      </c>
      <c r="D141" s="155">
        <v>2</v>
      </c>
      <c r="E141" s="155">
        <v>2</v>
      </c>
      <c r="F141" s="155">
        <v>2</v>
      </c>
      <c r="G141" s="170">
        <v>17.989999999999998</v>
      </c>
      <c r="H141" s="158">
        <f t="shared" si="13"/>
        <v>179.89999999999998</v>
      </c>
      <c r="I141" s="159">
        <v>12</v>
      </c>
      <c r="J141" s="158">
        <f t="shared" si="14"/>
        <v>14.991666666666665</v>
      </c>
    </row>
    <row r="142" spans="1:10" x14ac:dyDescent="0.25">
      <c r="A142" s="397" t="s">
        <v>349</v>
      </c>
      <c r="B142" s="398"/>
      <c r="C142" s="398"/>
      <c r="D142" s="398"/>
      <c r="E142" s="398"/>
      <c r="F142" s="398"/>
      <c r="G142" s="398"/>
      <c r="H142" s="398"/>
      <c r="I142" s="399"/>
      <c r="J142" s="181">
        <f>SUM(J110:J141)</f>
        <v>1531.1291666666671</v>
      </c>
    </row>
    <row r="143" spans="1:10" x14ac:dyDescent="0.25">
      <c r="A143" s="397" t="s">
        <v>350</v>
      </c>
      <c r="B143" s="398"/>
      <c r="C143" s="398"/>
      <c r="D143" s="398"/>
      <c r="E143" s="399"/>
      <c r="F143" s="184">
        <f>F22</f>
        <v>10</v>
      </c>
      <c r="G143" s="400" t="s">
        <v>351</v>
      </c>
      <c r="H143" s="401"/>
      <c r="I143" s="402">
        <f>J142/F143</f>
        <v>153.11291666666671</v>
      </c>
      <c r="J143" s="403"/>
    </row>
    <row r="144" spans="1:10" ht="15" customHeight="1" x14ac:dyDescent="0.25">
      <c r="A144" s="392"/>
      <c r="B144" s="393"/>
      <c r="C144" s="393"/>
      <c r="D144" s="393"/>
      <c r="E144" s="393"/>
      <c r="F144" s="393"/>
      <c r="G144" s="393"/>
      <c r="H144" s="393"/>
      <c r="I144" s="393"/>
      <c r="J144" s="393"/>
    </row>
    <row r="145" spans="1:11" ht="15" customHeight="1" x14ac:dyDescent="0.25">
      <c r="A145" s="386" t="s">
        <v>352</v>
      </c>
      <c r="B145" s="387"/>
      <c r="C145" s="387"/>
      <c r="D145" s="387"/>
      <c r="E145" s="387"/>
      <c r="F145" s="387"/>
      <c r="G145" s="387"/>
      <c r="H145" s="388"/>
      <c r="I145" s="389">
        <f>SUM(I146:J148)</f>
        <v>895.50358333333338</v>
      </c>
      <c r="J145" s="390"/>
      <c r="K145" s="179">
        <f>SUM(I22+I34+I42+I53+I72+I84+I106+I143)</f>
        <v>895.50358333333338</v>
      </c>
    </row>
    <row r="146" spans="1:11" x14ac:dyDescent="0.25">
      <c r="A146" s="383" t="s">
        <v>354</v>
      </c>
      <c r="B146" s="383"/>
      <c r="C146" s="383"/>
      <c r="D146" s="383"/>
      <c r="E146" s="383"/>
      <c r="F146" s="383"/>
      <c r="G146" s="383"/>
      <c r="H146" s="383"/>
      <c r="I146" s="384">
        <f>SUM(I22+I34+I42+I143)</f>
        <v>427.67758333333342</v>
      </c>
      <c r="J146" s="391"/>
    </row>
    <row r="147" spans="1:11" x14ac:dyDescent="0.25">
      <c r="A147" s="383" t="s">
        <v>355</v>
      </c>
      <c r="B147" s="383"/>
      <c r="C147" s="383"/>
      <c r="D147" s="383"/>
      <c r="E147" s="383"/>
      <c r="F147" s="383"/>
      <c r="G147" s="383"/>
      <c r="H147" s="383"/>
      <c r="I147" s="384">
        <f>SUM(I53+I72)</f>
        <v>104.20349999999999</v>
      </c>
      <c r="J147" s="391"/>
    </row>
    <row r="148" spans="1:11" x14ac:dyDescent="0.25">
      <c r="A148" s="383" t="s">
        <v>353</v>
      </c>
      <c r="B148" s="383"/>
      <c r="C148" s="383"/>
      <c r="D148" s="383"/>
      <c r="E148" s="383"/>
      <c r="F148" s="383"/>
      <c r="G148" s="383"/>
      <c r="H148" s="383"/>
      <c r="I148" s="384">
        <f>SUM(I106+I84)</f>
        <v>363.6225</v>
      </c>
      <c r="J148" s="385"/>
    </row>
    <row r="149" spans="1:11" ht="15" customHeight="1" x14ac:dyDescent="0.25">
      <c r="A149" s="382" t="s">
        <v>357</v>
      </c>
      <c r="B149" s="382"/>
      <c r="C149" s="382"/>
      <c r="D149" s="382"/>
      <c r="E149" s="382"/>
      <c r="F149" s="382"/>
      <c r="G149" s="382"/>
      <c r="H149" s="382"/>
      <c r="I149" s="382"/>
      <c r="J149" s="382"/>
    </row>
    <row r="150" spans="1:11" x14ac:dyDescent="0.25">
      <c r="A150" s="382"/>
      <c r="B150" s="382"/>
      <c r="C150" s="382"/>
      <c r="D150" s="382"/>
      <c r="E150" s="382"/>
      <c r="F150" s="382"/>
      <c r="G150" s="382"/>
      <c r="H150" s="382"/>
      <c r="I150" s="382"/>
      <c r="J150" s="382"/>
    </row>
    <row r="151" spans="1:11" ht="15" customHeight="1" x14ac:dyDescent="0.25">
      <c r="A151" s="382" t="s">
        <v>358</v>
      </c>
      <c r="B151" s="382"/>
      <c r="C151" s="382"/>
      <c r="D151" s="382"/>
      <c r="E151" s="382"/>
      <c r="F151" s="382"/>
      <c r="G151" s="382"/>
      <c r="H151" s="382"/>
      <c r="I151" s="382"/>
      <c r="J151" s="382"/>
    </row>
    <row r="152" spans="1:11" x14ac:dyDescent="0.25">
      <c r="A152" s="382"/>
      <c r="B152" s="382"/>
      <c r="C152" s="382"/>
      <c r="D152" s="382"/>
      <c r="E152" s="382"/>
      <c r="F152" s="382"/>
      <c r="G152" s="382"/>
      <c r="H152" s="382"/>
      <c r="I152" s="382"/>
      <c r="J152" s="382"/>
    </row>
  </sheetData>
  <mergeCells count="100">
    <mergeCell ref="A33:I33"/>
    <mergeCell ref="A34:E34"/>
    <mergeCell ref="A41:I41"/>
    <mergeCell ref="A42:E42"/>
    <mergeCell ref="A35:J35"/>
    <mergeCell ref="G34:H34"/>
    <mergeCell ref="I34:J34"/>
    <mergeCell ref="A85:J85"/>
    <mergeCell ref="A86:B87"/>
    <mergeCell ref="C86:F86"/>
    <mergeCell ref="G86:G87"/>
    <mergeCell ref="H86:H87"/>
    <mergeCell ref="I86:I87"/>
    <mergeCell ref="A52:I52"/>
    <mergeCell ref="A53:E53"/>
    <mergeCell ref="A54:J54"/>
    <mergeCell ref="A71:I71"/>
    <mergeCell ref="A72:E72"/>
    <mergeCell ref="A83:I83"/>
    <mergeCell ref="A73:J73"/>
    <mergeCell ref="A84:E84"/>
    <mergeCell ref="A74:B75"/>
    <mergeCell ref="C74:F74"/>
    <mergeCell ref="J44:J45"/>
    <mergeCell ref="A43:J43"/>
    <mergeCell ref="A36:B37"/>
    <mergeCell ref="C36:F36"/>
    <mergeCell ref="G36:G37"/>
    <mergeCell ref="H36:H37"/>
    <mergeCell ref="I36:I37"/>
    <mergeCell ref="J36:J37"/>
    <mergeCell ref="G42:H42"/>
    <mergeCell ref="I42:J42"/>
    <mergeCell ref="A44:B45"/>
    <mergeCell ref="C44:F44"/>
    <mergeCell ref="G44:G45"/>
    <mergeCell ref="H44:H45"/>
    <mergeCell ref="I44:I45"/>
    <mergeCell ref="A1:J1"/>
    <mergeCell ref="A2:J2"/>
    <mergeCell ref="A3:B4"/>
    <mergeCell ref="C3:F3"/>
    <mergeCell ref="G3:G4"/>
    <mergeCell ref="H3:H4"/>
    <mergeCell ref="I3:I4"/>
    <mergeCell ref="J3:J4"/>
    <mergeCell ref="I24:I25"/>
    <mergeCell ref="A21:I21"/>
    <mergeCell ref="A22:E22"/>
    <mergeCell ref="J86:J87"/>
    <mergeCell ref="A105:I105"/>
    <mergeCell ref="H55:H56"/>
    <mergeCell ref="I55:I56"/>
    <mergeCell ref="J55:J56"/>
    <mergeCell ref="J24:J25"/>
    <mergeCell ref="A23:J23"/>
    <mergeCell ref="G22:H22"/>
    <mergeCell ref="I22:J22"/>
    <mergeCell ref="A24:B25"/>
    <mergeCell ref="C24:F24"/>
    <mergeCell ref="G24:G25"/>
    <mergeCell ref="H24:H25"/>
    <mergeCell ref="A106:E106"/>
    <mergeCell ref="G106:H106"/>
    <mergeCell ref="I106:J106"/>
    <mergeCell ref="G53:H53"/>
    <mergeCell ref="I53:J53"/>
    <mergeCell ref="G72:H72"/>
    <mergeCell ref="I72:J72"/>
    <mergeCell ref="G84:H84"/>
    <mergeCell ref="I84:J84"/>
    <mergeCell ref="G74:G75"/>
    <mergeCell ref="H74:H75"/>
    <mergeCell ref="I74:I75"/>
    <mergeCell ref="J74:J75"/>
    <mergeCell ref="A55:B56"/>
    <mergeCell ref="C55:F55"/>
    <mergeCell ref="G55:G56"/>
    <mergeCell ref="A142:I142"/>
    <mergeCell ref="A143:E143"/>
    <mergeCell ref="G143:H143"/>
    <mergeCell ref="I143:J143"/>
    <mergeCell ref="A144:J144"/>
    <mergeCell ref="A107:J107"/>
    <mergeCell ref="A108:B109"/>
    <mergeCell ref="C108:F108"/>
    <mergeCell ref="G108:G109"/>
    <mergeCell ref="H108:H109"/>
    <mergeCell ref="I108:I109"/>
    <mergeCell ref="J108:J109"/>
    <mergeCell ref="A149:J150"/>
    <mergeCell ref="A151:J152"/>
    <mergeCell ref="A148:H148"/>
    <mergeCell ref="I148:J148"/>
    <mergeCell ref="A145:H145"/>
    <mergeCell ref="I145:J145"/>
    <mergeCell ref="A146:H146"/>
    <mergeCell ref="I146:J146"/>
    <mergeCell ref="A147:H147"/>
    <mergeCell ref="I147:J147"/>
  </mergeCells>
  <pageMargins left="0.511811024" right="0.511811024" top="0.78740157499999996" bottom="0.78740157499999996" header="0.31496062000000002" footer="0.31496062000000002"/>
  <pageSetup paperSize="9" scale="30" orientation="portrait" r:id="rId1"/>
  <rowBreaks count="1" manualBreakCount="1">
    <brk id="10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RESUMO LOTE 01</vt:lpstr>
      <vt:lpstr>DADOS</vt:lpstr>
      <vt:lpstr>CIAC - COM INSALUBRIDADE</vt:lpstr>
      <vt:lpstr>Correios e Aero - com INSAL.</vt:lpstr>
      <vt:lpstr>PVH - SEM INSALUBRIDADE</vt:lpstr>
      <vt:lpstr>GUAJARA - COM INSALUBRIDADE</vt:lpstr>
      <vt:lpstr>METRAGEM</vt:lpstr>
      <vt:lpstr>INSUMOS</vt:lpstr>
      <vt:lpstr>'CIAC - COM INSALUBRIDADE'!Area_de_impressao</vt:lpstr>
      <vt:lpstr>'Correios e Aero - com INSAL.'!Area_de_impressao</vt:lpstr>
      <vt:lpstr>'GUAJARA - COM INSALUBRIDADE'!Area_de_impressao</vt:lpstr>
      <vt:lpstr>METRAGEM!Area_de_impressao</vt:lpstr>
      <vt:lpstr>'PVH - SEM INSALUBRIDADE'!Area_de_impressao</vt:lpstr>
      <vt:lpstr>'RESUMO LOTE 01'!Area_de_impressao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gabryel</dc:creator>
  <cp:lastModifiedBy>Igor Italvino Bruschi</cp:lastModifiedBy>
  <cp:lastPrinted>2025-04-08T13:11:00Z</cp:lastPrinted>
  <dcterms:created xsi:type="dcterms:W3CDTF">2014-04-11T01:53:38Z</dcterms:created>
  <dcterms:modified xsi:type="dcterms:W3CDTF">2025-04-08T14:10:48Z</dcterms:modified>
</cp:coreProperties>
</file>